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fal461\Documents\PCBs in BM\"/>
    </mc:Choice>
  </mc:AlternateContent>
  <workbookProtection workbookAlgorithmName="SHA-512" workbookHashValue="57853SkcQ2OEadzI9KKvddnNytk4oGnk5VKI2SmB6LYxc8un7gaoBdTNp0ICLerCP4yIaAk5gg27RvUEoaNLfw==" workbookSaltValue="ppBsu5ronJPepfCN2i3SLw==" workbookSpinCount="100000" lockStructure="1"/>
  <bookViews>
    <workbookView xWindow="0" yWindow="0" windowWidth="13584" windowHeight="5784" activeTab="1"/>
  </bookViews>
  <sheets>
    <sheet name="Index Page" sheetId="6" r:id="rId1"/>
    <sheet name="PCB Cost Analysis Worksheet" sheetId="1" r:id="rId2"/>
    <sheet name="Tables" sheetId="3" state="hidden" r:id="rId3"/>
    <sheet name="Glossary"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7" i="1" l="1"/>
  <c r="E58" i="1"/>
  <c r="B72" i="1"/>
  <c r="B73" i="1"/>
  <c r="B74" i="1"/>
  <c r="B75" i="1"/>
  <c r="B76" i="1"/>
  <c r="C95" i="3"/>
  <c r="C92" i="3"/>
  <c r="C91" i="3"/>
  <c r="C90" i="3"/>
  <c r="C85" i="3"/>
  <c r="C84" i="3"/>
  <c r="C83" i="3"/>
  <c r="C81" i="3"/>
  <c r="C82" i="3"/>
  <c r="C76" i="3"/>
  <c r="C75" i="3"/>
  <c r="C74" i="3"/>
  <c r="C73" i="3"/>
  <c r="C72" i="3"/>
  <c r="C67" i="3"/>
  <c r="C66" i="3"/>
  <c r="C65" i="3"/>
  <c r="C64" i="3"/>
  <c r="C63" i="3"/>
  <c r="C54" i="3"/>
  <c r="C53" i="3"/>
  <c r="C52" i="3"/>
  <c r="C55" i="3"/>
  <c r="C56" i="3"/>
  <c r="E52" i="1" l="1"/>
  <c r="E50" i="1"/>
  <c r="D30" i="1" l="1"/>
  <c r="B22" i="3"/>
  <c r="D15" i="1"/>
  <c r="D23" i="1"/>
  <c r="D22" i="1"/>
  <c r="D21" i="1"/>
  <c r="D20" i="1"/>
  <c r="D19" i="1"/>
  <c r="D18" i="1"/>
  <c r="D17" i="1"/>
  <c r="N42" i="3" l="1"/>
  <c r="N43" i="3"/>
  <c r="N44" i="3"/>
  <c r="N41" i="3"/>
  <c r="M44" i="3"/>
  <c r="M43" i="3"/>
  <c r="M42" i="3"/>
  <c r="M41" i="3"/>
  <c r="D77" i="1"/>
  <c r="D76" i="1"/>
  <c r="D75" i="1"/>
  <c r="D74" i="1"/>
  <c r="D73" i="1"/>
  <c r="D72" i="1"/>
  <c r="D61" i="1"/>
  <c r="C71" i="3"/>
  <c r="C80" i="3"/>
  <c r="C93" i="3"/>
  <c r="C94" i="3"/>
  <c r="C101" i="3"/>
  <c r="E63" i="1"/>
  <c r="D63" i="1"/>
  <c r="E62" i="1"/>
  <c r="D62" i="1"/>
  <c r="E61" i="1"/>
  <c r="E60" i="1"/>
  <c r="D60" i="1"/>
  <c r="E59" i="1"/>
  <c r="D59" i="1"/>
  <c r="D58" i="1"/>
  <c r="C103" i="3"/>
  <c r="C102" i="3"/>
  <c r="D80" i="1" l="1"/>
  <c r="D79" i="1"/>
  <c r="E66" i="1"/>
  <c r="E65" i="1"/>
  <c r="C62" i="3"/>
  <c r="K44" i="3"/>
  <c r="K43" i="3"/>
  <c r="K42" i="3"/>
  <c r="K41" i="3"/>
  <c r="B58" i="1"/>
  <c r="B61" i="1"/>
  <c r="E67" i="1" l="1"/>
  <c r="B8" i="1" s="1"/>
  <c r="D81" i="1"/>
  <c r="B9" i="1" s="1"/>
  <c r="D33" i="1"/>
  <c r="D32" i="1"/>
  <c r="D31" i="1"/>
  <c r="B25" i="3"/>
  <c r="B24" i="3"/>
  <c r="B23" i="3"/>
  <c r="D42" i="1" l="1"/>
  <c r="D29" i="1" l="1"/>
  <c r="D34" i="1" s="1"/>
  <c r="B5" i="1" s="1"/>
  <c r="D49" i="1"/>
  <c r="E49" i="1" s="1"/>
  <c r="D48" i="1"/>
  <c r="E48" i="1" s="1"/>
  <c r="D47" i="1"/>
  <c r="E47" i="1" s="1"/>
  <c r="D46" i="1"/>
  <c r="E46" i="1" s="1"/>
  <c r="D45" i="1"/>
  <c r="D44" i="1"/>
  <c r="E44" i="1" s="1"/>
  <c r="D43" i="1"/>
  <c r="E43" i="1" s="1"/>
  <c r="E42" i="1"/>
  <c r="D41" i="1"/>
  <c r="E41" i="1" s="1"/>
  <c r="D40" i="1"/>
  <c r="E45" i="1" l="1"/>
  <c r="E40" i="1"/>
  <c r="B63" i="1"/>
  <c r="B62" i="1"/>
  <c r="B60" i="1"/>
  <c r="B59" i="1"/>
  <c r="B40" i="1"/>
  <c r="B49" i="1"/>
  <c r="B48" i="1"/>
  <c r="B47" i="1"/>
  <c r="B46" i="1"/>
  <c r="B45" i="1"/>
  <c r="B44" i="1"/>
  <c r="B43" i="1"/>
  <c r="B42" i="1"/>
  <c r="B41" i="1"/>
  <c r="E51" i="1" l="1"/>
  <c r="E53" i="1" s="1"/>
  <c r="D16" i="1" s="1"/>
  <c r="D24" i="1" s="1"/>
  <c r="B4" i="1" s="1"/>
  <c r="D35" i="1"/>
  <c r="B6" i="1" s="1"/>
  <c r="B7" i="1" l="1"/>
  <c r="B10" i="1" l="1"/>
</calcChain>
</file>

<file path=xl/sharedStrings.xml><?xml version="1.0" encoding="utf-8"?>
<sst xmlns="http://schemas.openxmlformats.org/spreadsheetml/2006/main" count="518" uniqueCount="207">
  <si>
    <t>$ / UNIT</t>
  </si>
  <si>
    <t>TASK NAME</t>
  </si>
  <si>
    <t>Transportation</t>
  </si>
  <si>
    <t>Sampling Expenses</t>
  </si>
  <si>
    <t>Waste Disposal</t>
  </si>
  <si>
    <t>Column1</t>
  </si>
  <si>
    <t>Square Feet</t>
  </si>
  <si>
    <t>Linear Feet</t>
  </si>
  <si>
    <t># of samples</t>
  </si>
  <si>
    <t># of samples2</t>
  </si>
  <si>
    <t>Door/Window Caulking</t>
  </si>
  <si>
    <t>Galbestos Roofing/Siding</t>
  </si>
  <si>
    <t>Light Ballast</t>
  </si>
  <si>
    <t>Paint/Coating</t>
  </si>
  <si>
    <t>Measurement Type</t>
  </si>
  <si>
    <t>1-1000 SF</t>
  </si>
  <si>
    <t>1000-5000 SF</t>
  </si>
  <si>
    <t>More than 5000 SF</t>
  </si>
  <si>
    <t>1-50 LF</t>
  </si>
  <si>
    <t>50-250 LF</t>
  </si>
  <si>
    <t>250-1000 LF</t>
  </si>
  <si>
    <t>1000-2500 LF</t>
  </si>
  <si>
    <t>More then 2500 LF</t>
  </si>
  <si>
    <t>Type</t>
  </si>
  <si>
    <t>BMPs &amp; Encapsulation</t>
  </si>
  <si>
    <t>More than 2500 LF</t>
  </si>
  <si>
    <t>1000-5000</t>
  </si>
  <si>
    <t>More then 5000</t>
  </si>
  <si>
    <t>Sampling Plan</t>
  </si>
  <si>
    <t>Health and Safety Plan</t>
  </si>
  <si>
    <t>Operations &amp; Management Plan</t>
  </si>
  <si>
    <t>Specification for Abatement</t>
  </si>
  <si>
    <t>Abatement Work Plan</t>
  </si>
  <si>
    <t>Close-Out Documents</t>
  </si>
  <si>
    <t>Abatement Waste</t>
  </si>
  <si>
    <t>Awareness Training</t>
  </si>
  <si>
    <t>Storm Drain Filter Sock</t>
  </si>
  <si>
    <t>Berms</t>
  </si>
  <si>
    <t>Waste Management Plan</t>
  </si>
  <si>
    <t>Stormwater Pollution Prevention  Plan</t>
  </si>
  <si>
    <t>Encapsulation/Enclousure</t>
  </si>
  <si>
    <t>1-250 SF</t>
  </si>
  <si>
    <t>250-1000 SF</t>
  </si>
  <si>
    <t>Column2</t>
  </si>
  <si>
    <t>PCB Survey Report</t>
  </si>
  <si>
    <t>Each</t>
  </si>
  <si>
    <t>Substrate</t>
  </si>
  <si>
    <t>Light Ballast Intact</t>
  </si>
  <si>
    <t>Light Ballast Leaking</t>
  </si>
  <si>
    <t>Unit</t>
  </si>
  <si>
    <t>OVERALL QUANTITY</t>
  </si>
  <si>
    <t xml:space="preserve">MEASUREMENT </t>
  </si>
  <si>
    <t>1-250</t>
  </si>
  <si>
    <t>250-1000</t>
  </si>
  <si>
    <t>1-50</t>
  </si>
  <si>
    <t>50-250</t>
  </si>
  <si>
    <t>More then 1000</t>
  </si>
  <si>
    <t>Stormwater Pollution Prevention Plan</t>
  </si>
  <si>
    <t>Exterior Facility Cleaning</t>
  </si>
  <si>
    <t>Demo/Reno</t>
  </si>
  <si>
    <t>Select Project Size</t>
  </si>
  <si>
    <t>Select PCB Removal Material</t>
  </si>
  <si>
    <t>Select PCB Sample Type</t>
  </si>
  <si>
    <t>Select PCB Disposal Material</t>
  </si>
  <si>
    <t>Select Disposal type</t>
  </si>
  <si>
    <t xml:space="preserve"> QUANTITY RANGE</t>
  </si>
  <si>
    <t>Idustry Standard Cost</t>
  </si>
  <si>
    <t>PCB Sampling Report</t>
  </si>
  <si>
    <t>Cost</t>
  </si>
  <si>
    <t>x</t>
  </si>
  <si>
    <t>Select Report</t>
  </si>
  <si>
    <t xml:space="preserve">Yes </t>
  </si>
  <si>
    <t>PCB BUILDING MATERIAL / TASK</t>
  </si>
  <si>
    <t>PLAN / REPORT NAME</t>
  </si>
  <si>
    <t>Cost derived from Table 4</t>
  </si>
  <si>
    <t>Select Quantity Range</t>
  </si>
  <si>
    <t>Quantity Range</t>
  </si>
  <si>
    <t>BMPs SET-UP TOTAL</t>
  </si>
  <si>
    <t xml:space="preserve">$                                   -   </t>
  </si>
  <si>
    <t>Inspections and BMP Maintenance</t>
  </si>
  <si>
    <t>Trained Sampling Professional</t>
  </si>
  <si>
    <t>TABLE 1: COST ESTIMATE SUMMARY</t>
  </si>
  <si>
    <t>Abatement</t>
  </si>
  <si>
    <t>Procedures that remove PCB-containing building materials from existing structures.</t>
  </si>
  <si>
    <t>Bulk product waste</t>
  </si>
  <si>
    <t>Demolition</t>
  </si>
  <si>
    <t>Encapsulation</t>
  </si>
  <si>
    <t>Painting or coating building surfaces with substances that prevent PCBs in building materials from entering the environment.</t>
  </si>
  <si>
    <t>Galbestos</t>
  </si>
  <si>
    <t>A material made from multiple layers of asphalt and asbestos, known to be coated in PCBs (as Aroclors). In Washington state, Galbestos was used as building siding and roofing.</t>
  </si>
  <si>
    <t>Mitigation</t>
  </si>
  <si>
    <t>Action that reduces the degree of contamination.</t>
  </si>
  <si>
    <t>Polychlorinated biphenyls (PCBs)</t>
  </si>
  <si>
    <t>Porous materials</t>
  </si>
  <si>
    <t>Any solid material that has pores (holes, cavities, or channels).</t>
  </si>
  <si>
    <t>Remediating</t>
  </si>
  <si>
    <t>An environmental cleanup term that refers to removing contaminants.</t>
  </si>
  <si>
    <t>Remediation waste</t>
  </si>
  <si>
    <t>Renovation</t>
  </si>
  <si>
    <t>Sampling plan</t>
  </si>
  <si>
    <t>A detailed plan that outlines what measurements will be taken from which building materials, where, time of sampling, how to sample materials, and who will take the samples.</t>
  </si>
  <si>
    <t>Building materials like concrete or masonry that may contain PCBs.</t>
  </si>
  <si>
    <t>TSCA waste</t>
  </si>
  <si>
    <t>TSCA Waste can refer to any wastes regulated under TSCA (such as lead and asbestos). In this guide, TSCA Waste refers to PCB bulk product waste and PCB remediation waste.</t>
  </si>
  <si>
    <t>Non-liquid bulk wastes or debris from the demolition of buildings and other man-made structures manufactured, coated, or serviced with PCBs. Once removed, these wastes or debris are defined as a PCB bulk product waste and must be disposed in accordance with federal regulations. See 40 CFR 761.62.</t>
  </si>
  <si>
    <t>Refers to wrecking or removing any load-supporting structural parts of a facility. It includes related handling operations or intentionally burning a facility. During demolition, you must consider all suspect PCB-containing building materials.</t>
  </si>
  <si>
    <t>A class of synthetic chlorinated chemicals not found naturally in the environment. They’re persistent, bioaccumulative, and toxic (PBT) chemicals and probable human carcinogens. In 1976, Congress passed the Toxic Substances Control Act (TSCA), which prohibited the manufacture, processing, and distribution of PCBs within three years.</t>
  </si>
  <si>
    <t>Waste or debris resulting from cleanup of contaminated building materials. These can include window frames and soil contaminated with PCBs. See Appendix A. Federal and State Regulations, of the guidance document, to learn more about PCB bulk product waste and remediation waste, and for details on how their disposal is regulated differently (40 CFR 761.61).</t>
  </si>
  <si>
    <t>Refers to removing, modifying, or repairing areas of a building that may disturb materials without affecting the building’s structural integrity. This may include activities like:  Window and doorway repair;   Surface restoration;  Surface preparation (like sanding and scraping). During renovation, consider building materials and the surrounding substrates you may disturb during construction activities.</t>
  </si>
  <si>
    <t>250-500 LF</t>
  </si>
  <si>
    <t>500-1000 LF</t>
  </si>
  <si>
    <t>NUMBER OF SAMPLES</t>
  </si>
  <si>
    <t xml:space="preserve">PCB PROJECT PLANS &amp; REPORTS  TOTAL </t>
  </si>
  <si>
    <t xml:space="preserve">$                                -   </t>
  </si>
  <si>
    <t>Awareness Training Cost</t>
  </si>
  <si>
    <t>Trained  Sampling Professional</t>
  </si>
  <si>
    <t>BMPS</t>
  </si>
  <si>
    <t xml:space="preserve">COST </t>
  </si>
  <si>
    <t>Average 2022 Industry Standard Cost</t>
  </si>
  <si>
    <t>Material Covering or Encapsulation for Mitigation</t>
  </si>
  <si>
    <t>SWP Socks and Berms</t>
  </si>
  <si>
    <t>Encapsulation/enclusoure</t>
  </si>
  <si>
    <t>Exterior facility cleaning</t>
  </si>
  <si>
    <t>Berms range</t>
  </si>
  <si>
    <t>Inspections and BMP Maintenace</t>
  </si>
  <si>
    <t>Expansion Joint Material</t>
  </si>
  <si>
    <t>SUSPECT-PCB BUILDING MATERIAL / TASK</t>
  </si>
  <si>
    <t>Expansion Joint Range</t>
  </si>
  <si>
    <t>Door/Window Caulking Range</t>
  </si>
  <si>
    <t>Bulk  (55 Gallon Drum)</t>
  </si>
  <si>
    <t>250.00 per drum</t>
  </si>
  <si>
    <t>Hours</t>
  </si>
  <si>
    <t>1-200 SF</t>
  </si>
  <si>
    <t>200-500 SF</t>
  </si>
  <si>
    <t>500-1000 SF</t>
  </si>
  <si>
    <t>2500-5000 SF</t>
  </si>
  <si>
    <t>More then 5000 SF</t>
  </si>
  <si>
    <t>Substrate / Leaching Material</t>
  </si>
  <si>
    <t>Select SF Quantity Range</t>
  </si>
  <si>
    <t>Select LF Quantity Range</t>
  </si>
  <si>
    <t xml:space="preserve">1000-2500 SF </t>
  </si>
  <si>
    <t>Light Ballast (Visual Quantification by Inspector)</t>
  </si>
  <si>
    <t xml:space="preserve">Substrate/Lechate Material </t>
  </si>
  <si>
    <t xml:space="preserve">Light Ballast </t>
  </si>
  <si>
    <t xml:space="preserve">$                                 -   </t>
  </si>
  <si>
    <t>15% contingency</t>
  </si>
  <si>
    <t>10% taxes</t>
  </si>
  <si>
    <t xml:space="preserve">$                                 - </t>
  </si>
  <si>
    <t>ESTIMATED PCB SAMPLING REPORT TOTAL</t>
  </si>
  <si>
    <t xml:space="preserve">$                                     -   </t>
  </si>
  <si>
    <t>-</t>
  </si>
  <si>
    <t>Additional Costs (e.g. Taxes, Insurance, Permitting)</t>
  </si>
  <si>
    <t>Term</t>
  </si>
  <si>
    <t>Meaning</t>
  </si>
  <si>
    <t>Glossary of Terms</t>
  </si>
  <si>
    <t xml:space="preserve">Select Quantity Range  </t>
  </si>
  <si>
    <t xml:space="preserve">$                                      -   </t>
  </si>
  <si>
    <t xml:space="preserve">$                                  -   </t>
  </si>
  <si>
    <t xml:space="preserve"> Select Project Size</t>
  </si>
  <si>
    <t xml:space="preserve"> Select Quantity Range</t>
  </si>
  <si>
    <t>ESTIMATED PROJECT HOURS</t>
  </si>
  <si>
    <t>10% Contingency</t>
  </si>
  <si>
    <t xml:space="preserve"> </t>
  </si>
  <si>
    <t>PROJECT SIZE / UNIT #</t>
  </si>
  <si>
    <t xml:space="preserve">$                                    -   </t>
  </si>
  <si>
    <t>SELECT REPORT (YES)</t>
  </si>
  <si>
    <t>TOTALS</t>
  </si>
  <si>
    <t>ESTIMATED TOTAL</t>
  </si>
  <si>
    <t>This spreadsheet includes a PCB cost analysis worksheet and a glossary. Cell A2 includes a brief explanation of the PCB cost analysis worksheet. For a more detailed information about the worksheet, please see our How to Estimate Abatement Project Costs for PCBs in Building Materials publication (link in cell A5). Cell A3 provides a link to the PCB cost analysis worksheet. Cell A4 provides a link to the glossary. Cell A5 provides a link to our How to Estimate Abatement Project Costs for PCBs in Building Materials publication. Cell A6 provides a link to Ecology's guide, How to Find and Address PCBs in Building Materials. Cell A7 provides a link to Ecology's PCBs in building materials webpage. Cell A8 provides a link to EPA's PCBs in building materials webpage. Cells A9 to A13 provide Ecology contact information.</t>
  </si>
  <si>
    <t>The PCB cost analysis worksheet is designed to help building owners, developers, and contractors broadly estimate PCB-containing building materials when following the process we outlined in our guide, How to Find and Address PCBs in Building Materials (link in cell A6). It provides a framework with fillable fields where you can enter data to estimate your project’s costs. Learn more about how to use the worksheet in our How to Estimate Abatement Project Costs for PCBs in Building Materials publication (link in cell A5).</t>
  </si>
  <si>
    <t>How to Estimate Abatement Project Costs for PCBs in Building Materials publication</t>
  </si>
  <si>
    <t>How to Find and Address PCBs in Building Materials</t>
  </si>
  <si>
    <t>Ecology's PCBs in building materials webpage</t>
  </si>
  <si>
    <t>Please visit EPA's Polychlorinated Biphenyls (PCBs) in Building Materials webpage for guidance on interior building materials.</t>
  </si>
  <si>
    <t>Ecology Contact</t>
  </si>
  <si>
    <t>Myles Perkins</t>
  </si>
  <si>
    <t>PCBs in Building Materials Project Lead</t>
  </si>
  <si>
    <t>myles.perkins@ecy.wa.gov</t>
  </si>
  <si>
    <t>425-457-2514</t>
  </si>
  <si>
    <t>PCB cost analysis worksheet</t>
  </si>
  <si>
    <t>Glossary</t>
  </si>
  <si>
    <t>SUMMARY TABLE 1—POTENTIAL PCB PROJECT EXPENSES</t>
  </si>
  <si>
    <t>Total of Table 2—Plans &amp; Reports</t>
  </si>
  <si>
    <t>Total of Table 3—PCBs Set-up of BMPs</t>
  </si>
  <si>
    <t>Total of Table 3—BMPs Long-term/Annual Upkeep</t>
  </si>
  <si>
    <t>Total of Table 4—PCB Sampling &amp; Analysis</t>
  </si>
  <si>
    <t>Total of Table 5—PCB Demolition / Renovation</t>
  </si>
  <si>
    <t>Total of Table 6—PCB Waste Disposal / Transportation</t>
  </si>
  <si>
    <t>Combined Total Cost of PCB Project</t>
  </si>
  <si>
    <t>TABLE 2: PCBs IN BUILDINGS—POTENTIAL PLANS AND REPORTS EXPENSES</t>
  </si>
  <si>
    <t>TABLE 3: MANAGE IN PLACE PCB BEST MANAGEMENT PRACTICES (BMPS) EXPENSES</t>
  </si>
  <si>
    <t>Storm Drain Protection (e.g., Berms, Filters, Socks)</t>
  </si>
  <si>
    <t>TABLE 4: PCB SAMPLING, ANALYSIS, AND REPORT—EXPENSES</t>
  </si>
  <si>
    <t>TABLE 5: DEMOLITION / RENOVATION PROJECT OF PCBs—EXPENSES</t>
  </si>
  <si>
    <t>Additional Costs (e.g., Taxes, Insurance, Permitting)</t>
  </si>
  <si>
    <t>TABLE 6: WASTE DISPOSAL AND TRANSPORTATION OF PCBs—EXPENSES</t>
  </si>
  <si>
    <t xml:space="preserve">End of Cost Estimate Worksheet. </t>
  </si>
  <si>
    <t>Table 1 is an auto-populated total of Tables 2–6 for a combined PCB Project Cost Estimate.</t>
  </si>
  <si>
    <t>In Table 2, choose options from the drop-down lists in columns B and C (beginning with the word "Select"). Column D will auto-populate.</t>
  </si>
  <si>
    <t>In Table 3, choose options from the drop-down lists in column B (beginning with the word "Select"). Enter the the number of awareness training trainees in B29. Column D will auto-populate.</t>
  </si>
  <si>
    <t>In Table 5, choose options from the drop-down lists in column C (beginning with the word "Select"). Columns D and E will auto populate.</t>
  </si>
  <si>
    <t>In Table 4, choose options from the drop-down lists in column A, then in column C (beginning with the word "Select"). Columns B, D, and E will auto-populate.</t>
  </si>
  <si>
    <t>In Table 6, choose options from the drop-down list in column C (beginning with the word "Select"). Column D will auto-populate.</t>
  </si>
  <si>
    <t>LONGTERM BMPs UPKEEP TOTAL</t>
  </si>
  <si>
    <t>ESTIMATED WASTE DISPOSAL TOTAL</t>
  </si>
  <si>
    <t>SAMPLE ANALYSIS SUB-TOTAL</t>
  </si>
  <si>
    <t>ESTIMATED PCB ABATEMENT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</si>
</sst>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quot;$&quot;* #,##0.00_-;_-&quot;$&quot;* &quot;-&quot;??_-;_-@_-"/>
  </numFmts>
  <fonts count="25"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0"/>
      <color indexed="12"/>
      <name val="Arial"/>
      <family val="2"/>
    </font>
    <font>
      <i/>
      <sz val="11"/>
      <color theme="1"/>
      <name val="Century Gothic"/>
      <family val="2"/>
    </font>
    <font>
      <sz val="8"/>
      <name val="Calibri"/>
      <family val="2"/>
      <scheme val="minor"/>
    </font>
    <font>
      <sz val="11"/>
      <color theme="1"/>
      <name val="Century Gothic"/>
      <family val="2"/>
    </font>
    <font>
      <sz val="11"/>
      <color theme="1"/>
      <name val="Calibri"/>
      <family val="2"/>
    </font>
    <font>
      <sz val="11"/>
      <color theme="0"/>
      <name val="Century Gothic"/>
      <family val="2"/>
    </font>
    <font>
      <sz val="11"/>
      <name val="Century Gothic"/>
      <family val="2"/>
    </font>
    <font>
      <b/>
      <sz val="11"/>
      <color theme="0"/>
      <name val="Century Gothic"/>
      <family val="2"/>
    </font>
    <font>
      <sz val="12"/>
      <color theme="1"/>
      <name val="Century Gothic"/>
      <family val="2"/>
    </font>
    <font>
      <sz val="11"/>
      <color rgb="FFFF0000"/>
      <name val="Century Gothic"/>
      <family val="2"/>
    </font>
    <font>
      <b/>
      <sz val="11"/>
      <color theme="1"/>
      <name val="Calibri"/>
      <family val="2"/>
      <scheme val="minor"/>
    </font>
    <font>
      <i/>
      <sz val="11"/>
      <color theme="1"/>
      <name val="Calibri"/>
      <family val="2"/>
      <scheme val="minor"/>
    </font>
    <font>
      <i/>
      <sz val="11"/>
      <color theme="1"/>
      <name val="Calibri"/>
      <family val="2"/>
      <scheme val="minor"/>
    </font>
    <font>
      <sz val="14"/>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sz val="11"/>
      <color rgb="FF000000"/>
      <name val="Century Gothic"/>
      <family val="2"/>
    </font>
    <font>
      <sz val="11"/>
      <color theme="1" tint="0.249977111117893"/>
      <name val="Century Gothic"/>
      <family val="2"/>
    </font>
    <font>
      <sz val="11"/>
      <color rgb="FFFFFFFF"/>
      <name val="Century Gothic"/>
      <family val="2"/>
    </font>
    <font>
      <u/>
      <sz val="11"/>
      <color theme="1"/>
      <name val="Century Gothic"/>
      <family val="2"/>
    </font>
  </fonts>
  <fills count="16">
    <fill>
      <patternFill patternType="none"/>
    </fill>
    <fill>
      <patternFill patternType="gray125"/>
    </fill>
    <fill>
      <patternFill patternType="solid">
        <fgColor theme="1" tint="0.34998626667073579"/>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rgb="FFAA4D0E"/>
        <bgColor indexed="64"/>
      </patternFill>
    </fill>
    <fill>
      <patternFill patternType="solid">
        <fgColor theme="8" tint="-0.249977111117893"/>
        <bgColor indexed="64"/>
      </patternFill>
    </fill>
    <fill>
      <patternFill patternType="solid">
        <fgColor rgb="FF548235"/>
        <bgColor indexed="64"/>
      </patternFill>
    </fill>
    <fill>
      <patternFill patternType="solid">
        <fgColor rgb="FF757171"/>
        <bgColor indexed="64"/>
      </patternFill>
    </fill>
    <fill>
      <patternFill patternType="solid">
        <fgColor rgb="FF305496"/>
        <bgColor indexed="64"/>
      </patternFill>
    </fill>
    <fill>
      <patternFill patternType="solid">
        <fgColor theme="0" tint="-0.14999847407452621"/>
        <bgColor theme="0" tint="-0.14999847407452621"/>
      </patternFill>
    </fill>
    <fill>
      <patternFill patternType="solid">
        <fgColor theme="1" tint="0.14999847407452621"/>
        <bgColor indexed="64"/>
      </patternFill>
    </fill>
  </fills>
  <borders count="22">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right/>
      <top/>
      <bottom style="thin">
        <color theme="0" tint="-0.249977111117893"/>
      </bottom>
      <diagonal/>
    </border>
    <border>
      <left/>
      <right/>
      <top/>
      <bottom style="thin">
        <color theme="1"/>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theme="0" tint="-0.249977111117893"/>
      </left>
      <right style="thin">
        <color theme="0" tint="-0.249977111117893"/>
      </right>
      <top style="thin">
        <color theme="6"/>
      </top>
      <bottom style="thin">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BFBFBF"/>
      </left>
      <right style="medium">
        <color rgb="FFA5A5A5"/>
      </right>
      <top style="medium">
        <color rgb="FFA5A5A5"/>
      </top>
      <bottom/>
      <diagonal/>
    </border>
    <border>
      <left/>
      <right style="medium">
        <color rgb="FFBFBFBF"/>
      </right>
      <top style="medium">
        <color rgb="FFA5A5A5"/>
      </top>
      <bottom/>
      <diagonal/>
    </border>
    <border>
      <left style="medium">
        <color rgb="FFA5A5A5"/>
      </left>
      <right style="medium">
        <color rgb="FFA5A5A5"/>
      </right>
      <top style="medium">
        <color rgb="FFA5A5A5"/>
      </top>
      <bottom/>
      <diagonal/>
    </border>
    <border>
      <left/>
      <right style="medium">
        <color rgb="FFBFBFBF"/>
      </right>
      <top style="medium">
        <color rgb="FF70AD47"/>
      </top>
      <bottom/>
      <diagonal/>
    </border>
    <border>
      <left style="medium">
        <color rgb="FFBFBFBF"/>
      </left>
      <right style="medium">
        <color rgb="FFBFBFBF"/>
      </right>
      <top style="medium">
        <color rgb="FF8EA9DB"/>
      </top>
      <bottom/>
      <diagonal/>
    </border>
    <border>
      <left/>
      <right style="medium">
        <color rgb="FFBFBFBF"/>
      </right>
      <top style="medium">
        <color rgb="FF8EA9DB"/>
      </top>
      <bottom/>
      <diagonal/>
    </border>
  </borders>
  <cellStyleXfs count="10">
    <xf numFmtId="0" fontId="0" fillId="0" borderId="0"/>
    <xf numFmtId="0" fontId="2" fillId="0" borderId="0"/>
    <xf numFmtId="44" fontId="2" fillId="0" borderId="0" applyFont="0" applyFill="0" applyBorder="0" applyAlignment="0" applyProtection="0"/>
    <xf numFmtId="0" fontId="1" fillId="0" borderId="0"/>
    <xf numFmtId="0" fontId="3"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9" fontId="3"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cellStyleXfs>
  <cellXfs count="140">
    <xf numFmtId="0" fontId="0" fillId="0" borderId="0" xfId="0"/>
    <xf numFmtId="0" fontId="0" fillId="0" borderId="0" xfId="0" applyAlignment="1">
      <alignment horizontal="center"/>
    </xf>
    <xf numFmtId="49" fontId="0" fillId="0" borderId="0" xfId="0" applyNumberFormat="1" applyAlignment="1">
      <alignment horizontal="center"/>
    </xf>
    <xf numFmtId="44" fontId="0" fillId="0" borderId="0" xfId="8" applyFont="1" applyAlignment="1">
      <alignment horizontal="center"/>
    </xf>
    <xf numFmtId="0" fontId="8" fillId="0" borderId="0" xfId="0" applyFont="1" applyAlignment="1">
      <alignment horizontal="left"/>
    </xf>
    <xf numFmtId="0" fontId="8" fillId="0" borderId="0" xfId="0" applyFont="1"/>
    <xf numFmtId="44" fontId="7" fillId="0" borderId="0" xfId="2" applyFont="1" applyFill="1" applyBorder="1" applyAlignment="1" applyProtection="1">
      <alignment vertical="center"/>
    </xf>
    <xf numFmtId="0" fontId="7" fillId="0" borderId="0" xfId="2" applyNumberFormat="1" applyFont="1" applyFill="1" applyBorder="1" applyAlignment="1" applyProtection="1">
      <alignment horizontal="center" vertical="center"/>
    </xf>
    <xf numFmtId="0" fontId="0" fillId="14" borderId="0" xfId="0" applyFill="1" applyAlignment="1">
      <alignment horizontal="center"/>
    </xf>
    <xf numFmtId="0" fontId="14" fillId="0" borderId="7" xfId="0" applyFont="1" applyBorder="1" applyAlignment="1">
      <alignment horizontal="center"/>
    </xf>
    <xf numFmtId="0" fontId="15" fillId="0" borderId="0" xfId="0" applyFont="1"/>
    <xf numFmtId="0" fontId="15" fillId="0" borderId="0" xfId="0" applyFont="1" applyAlignment="1">
      <alignment horizontal="center"/>
    </xf>
    <xf numFmtId="49" fontId="15" fillId="0" borderId="0" xfId="0" applyNumberFormat="1" applyFont="1" applyAlignment="1">
      <alignment horizontal="center"/>
    </xf>
    <xf numFmtId="44" fontId="12" fillId="0" borderId="0" xfId="0" applyNumberFormat="1" applyFont="1" applyAlignment="1" applyProtection="1">
      <alignment horizontal="left" vertical="center"/>
      <protection locked="0"/>
    </xf>
    <xf numFmtId="0" fontId="5" fillId="0" borderId="0" xfId="0" applyFont="1" applyAlignment="1" applyProtection="1">
      <alignment vertical="center"/>
      <protection locked="0"/>
    </xf>
    <xf numFmtId="14" fontId="0" fillId="0" borderId="0" xfId="0" applyNumberFormat="1" applyAlignment="1">
      <alignment horizontal="center"/>
    </xf>
    <xf numFmtId="44" fontId="9" fillId="0" borderId="0" xfId="2" applyFont="1" applyFill="1" applyBorder="1" applyAlignment="1" applyProtection="1">
      <alignment vertical="center"/>
    </xf>
    <xf numFmtId="0" fontId="0" fillId="0" borderId="8" xfId="0" applyBorder="1" applyAlignment="1">
      <alignment horizontal="center"/>
    </xf>
    <xf numFmtId="44" fontId="7" fillId="0" borderId="0" xfId="2" applyFont="1" applyFill="1" applyBorder="1" applyAlignment="1" applyProtection="1">
      <alignment horizontal="left" vertical="center"/>
    </xf>
    <xf numFmtId="44" fontId="11" fillId="9" borderId="3" xfId="2" applyFont="1" applyFill="1" applyBorder="1" applyAlignment="1" applyProtection="1">
      <alignment horizontal="right" vertical="center"/>
    </xf>
    <xf numFmtId="44" fontId="15" fillId="0" borderId="0" xfId="8" applyFont="1" applyAlignment="1">
      <alignment horizontal="center"/>
    </xf>
    <xf numFmtId="0" fontId="0" fillId="0" borderId="9" xfId="0" applyBorder="1" applyAlignment="1">
      <alignment horizontal="center"/>
    </xf>
    <xf numFmtId="44" fontId="0" fillId="0" borderId="10" xfId="8" applyFont="1" applyBorder="1" applyAlignment="1">
      <alignment horizontal="center"/>
    </xf>
    <xf numFmtId="44" fontId="0" fillId="0" borderId="0" xfId="8" applyFont="1" applyBorder="1" applyAlignment="1">
      <alignment horizontal="center"/>
    </xf>
    <xf numFmtId="44" fontId="0" fillId="0" borderId="0" xfId="8" applyFont="1" applyBorder="1"/>
    <xf numFmtId="0" fontId="14" fillId="0" borderId="0" xfId="0" applyFont="1" applyAlignment="1">
      <alignment horizontal="center"/>
    </xf>
    <xf numFmtId="49" fontId="14" fillId="0" borderId="0" xfId="0" applyNumberFormat="1" applyFont="1" applyAlignment="1">
      <alignment horizontal="center"/>
    </xf>
    <xf numFmtId="44" fontId="7" fillId="6" borderId="0" xfId="2" applyFont="1" applyFill="1" applyBorder="1" applyAlignment="1" applyProtection="1">
      <alignment vertical="center"/>
    </xf>
    <xf numFmtId="0" fontId="16" fillId="0" borderId="0" xfId="0" applyFont="1"/>
    <xf numFmtId="44" fontId="12" fillId="0" borderId="0" xfId="0" applyNumberFormat="1" applyFont="1" applyAlignment="1" applyProtection="1">
      <alignment horizontal="center"/>
      <protection locked="0"/>
    </xf>
    <xf numFmtId="44" fontId="0" fillId="0" borderId="0" xfId="8" applyFont="1"/>
    <xf numFmtId="44" fontId="12" fillId="0" borderId="0" xfId="0" applyNumberFormat="1" applyFont="1" applyAlignment="1">
      <alignment horizontal="center"/>
    </xf>
    <xf numFmtId="44" fontId="10" fillId="0" borderId="2" xfId="8" applyFont="1" applyFill="1" applyBorder="1" applyAlignment="1" applyProtection="1">
      <alignment vertical="center"/>
    </xf>
    <xf numFmtId="0" fontId="7" fillId="0" borderId="0" xfId="0" applyFont="1"/>
    <xf numFmtId="0" fontId="9" fillId="15" borderId="0" xfId="0" applyFont="1" applyFill="1"/>
    <xf numFmtId="0" fontId="13" fillId="0" borderId="0" xfId="0" applyFont="1" applyAlignment="1">
      <alignment vertical="top" wrapText="1"/>
    </xf>
    <xf numFmtId="0" fontId="7" fillId="0" borderId="0" xfId="0" applyFont="1" applyAlignment="1">
      <alignment vertical="center"/>
    </xf>
    <xf numFmtId="0" fontId="10" fillId="0" borderId="0" xfId="0" applyFont="1" applyAlignment="1">
      <alignment horizontal="left" vertical="top"/>
    </xf>
    <xf numFmtId="0" fontId="7" fillId="0" borderId="0" xfId="0" applyFont="1" applyAlignment="1">
      <alignment horizontal="center"/>
    </xf>
    <xf numFmtId="0" fontId="11" fillId="6" borderId="2" xfId="0" applyFont="1" applyFill="1" applyBorder="1" applyAlignment="1">
      <alignment horizontal="right" vertical="center"/>
    </xf>
    <xf numFmtId="0" fontId="7" fillId="0" borderId="0" xfId="0" applyFont="1" applyAlignment="1">
      <alignment horizontal="left" vertical="center" indent="1"/>
    </xf>
    <xf numFmtId="0" fontId="11" fillId="2" borderId="2" xfId="0" applyFont="1" applyFill="1" applyBorder="1" applyAlignment="1">
      <alignment horizontal="right" vertical="center"/>
    </xf>
    <xf numFmtId="0" fontId="11" fillId="4" borderId="6" xfId="0" applyFont="1" applyFill="1" applyBorder="1" applyAlignment="1">
      <alignment horizontal="right" vertical="center"/>
    </xf>
    <xf numFmtId="0" fontId="7" fillId="0" borderId="0" xfId="0" applyFont="1" applyAlignment="1" applyProtection="1">
      <alignment horizontal="center"/>
      <protection locked="0"/>
    </xf>
    <xf numFmtId="44" fontId="7" fillId="0" borderId="0" xfId="2" applyFont="1" applyFill="1" applyBorder="1" applyAlignment="1" applyProtection="1"/>
    <xf numFmtId="44" fontId="7" fillId="0" borderId="0" xfId="8" applyFont="1" applyFill="1" applyBorder="1" applyAlignment="1" applyProtection="1">
      <alignment horizontal="center"/>
    </xf>
    <xf numFmtId="44" fontId="1" fillId="0" borderId="0" xfId="8" applyFont="1" applyAlignment="1">
      <alignment horizontal="center"/>
    </xf>
    <xf numFmtId="44" fontId="0" fillId="0" borderId="0" xfId="0" applyNumberFormat="1"/>
    <xf numFmtId="0" fontId="17" fillId="0" borderId="0" xfId="0" applyFont="1"/>
    <xf numFmtId="0" fontId="2" fillId="0" borderId="0" xfId="0" applyFont="1"/>
    <xf numFmtId="0" fontId="10" fillId="0" borderId="0" xfId="0" applyFont="1"/>
    <xf numFmtId="0" fontId="11" fillId="7" borderId="0" xfId="0" applyFont="1" applyFill="1" applyBorder="1" applyAlignment="1">
      <alignment horizontal="right" vertical="center"/>
    </xf>
    <xf numFmtId="0" fontId="7" fillId="0" borderId="0" xfId="0" applyFont="1" applyBorder="1"/>
    <xf numFmtId="0" fontId="0" fillId="0" borderId="0" xfId="0" applyFont="1" applyAlignment="1">
      <alignment wrapText="1"/>
    </xf>
    <xf numFmtId="0" fontId="18" fillId="0" borderId="0" xfId="9" applyFont="1" applyAlignment="1">
      <alignment wrapText="1"/>
    </xf>
    <xf numFmtId="0" fontId="18" fillId="0" borderId="0" xfId="9" applyFont="1"/>
    <xf numFmtId="0" fontId="14" fillId="0" borderId="0" xfId="0" applyFont="1"/>
    <xf numFmtId="0" fontId="0" fillId="0" borderId="0" xfId="0" applyFont="1"/>
    <xf numFmtId="0" fontId="19" fillId="0" borderId="0" xfId="0" applyFont="1" applyAlignment="1">
      <alignment wrapText="1"/>
    </xf>
    <xf numFmtId="0" fontId="20" fillId="0" borderId="0" xfId="0" applyFont="1"/>
    <xf numFmtId="0" fontId="19" fillId="0" borderId="0" xfId="0" applyFont="1" applyAlignment="1">
      <alignment vertical="center" wrapText="1"/>
    </xf>
    <xf numFmtId="0" fontId="20" fillId="0" borderId="0" xfId="0" applyFont="1" applyAlignment="1">
      <alignment vertical="center" wrapText="1"/>
    </xf>
    <xf numFmtId="0" fontId="20" fillId="0" borderId="0" xfId="0" applyFont="1" applyAlignment="1">
      <alignment wrapText="1"/>
    </xf>
    <xf numFmtId="0" fontId="7" fillId="0" borderId="14" xfId="0" applyFont="1" applyBorder="1" applyAlignment="1">
      <alignment horizontal="left" vertical="center"/>
    </xf>
    <xf numFmtId="0" fontId="7" fillId="0" borderId="0" xfId="0" applyFont="1" applyBorder="1" applyAlignment="1">
      <alignment vertical="center"/>
    </xf>
    <xf numFmtId="44" fontId="7" fillId="0" borderId="0" xfId="0" applyNumberFormat="1" applyFont="1" applyBorder="1" applyAlignment="1">
      <alignment vertical="center"/>
    </xf>
    <xf numFmtId="0" fontId="7" fillId="0" borderId="0" xfId="0" applyFont="1" applyBorder="1" applyAlignment="1">
      <alignment horizontal="left"/>
    </xf>
    <xf numFmtId="0" fontId="5" fillId="0" borderId="0" xfId="0" applyFont="1" applyBorder="1" applyAlignment="1" applyProtection="1">
      <alignment horizontal="left"/>
      <protection locked="0"/>
    </xf>
    <xf numFmtId="0" fontId="7" fillId="0" borderId="0" xfId="2" applyNumberFormat="1" applyFont="1" applyFill="1" applyBorder="1" applyAlignment="1" applyProtection="1">
      <alignment horizontal="left"/>
    </xf>
    <xf numFmtId="44" fontId="7" fillId="0" borderId="0" xfId="0" applyNumberFormat="1" applyFont="1" applyBorder="1" applyAlignment="1">
      <alignment horizontal="left" vertical="center"/>
    </xf>
    <xf numFmtId="0" fontId="5" fillId="0" borderId="0" xfId="0" applyFont="1" applyBorder="1" applyProtection="1">
      <protection locked="0"/>
    </xf>
    <xf numFmtId="0" fontId="7" fillId="0" borderId="0" xfId="0" applyFont="1" applyBorder="1" applyAlignment="1">
      <alignment horizontal="center"/>
    </xf>
    <xf numFmtId="0" fontId="5" fillId="0" borderId="0" xfId="0" applyFont="1" applyBorder="1" applyAlignment="1">
      <alignment horizontal="left"/>
    </xf>
    <xf numFmtId="44" fontId="10" fillId="0" borderId="0" xfId="2" applyFont="1" applyFill="1" applyBorder="1" applyAlignment="1" applyProtection="1">
      <alignment vertical="center"/>
    </xf>
    <xf numFmtId="0" fontId="5" fillId="0" borderId="0" xfId="0" applyFont="1" applyBorder="1" applyAlignment="1" applyProtection="1">
      <alignment horizontal="left" vertical="center" indent="1"/>
      <protection locked="0"/>
    </xf>
    <xf numFmtId="14" fontId="7" fillId="0" borderId="0" xfId="0" applyNumberFormat="1" applyFont="1" applyBorder="1" applyAlignment="1">
      <alignment horizontal="left" vertical="center" indent="1"/>
    </xf>
    <xf numFmtId="44" fontId="7" fillId="0" borderId="0" xfId="0" applyNumberFormat="1" applyFont="1" applyBorder="1" applyAlignment="1">
      <alignment horizontal="left" vertical="center" indent="1"/>
    </xf>
    <xf numFmtId="0" fontId="7" fillId="0" borderId="0" xfId="0" applyFont="1" applyBorder="1" applyAlignment="1">
      <alignment horizontal="left" vertical="center" indent="1"/>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left" vertical="center"/>
      <protection locked="0"/>
    </xf>
    <xf numFmtId="0" fontId="11" fillId="6" borderId="6" xfId="0" applyFont="1" applyFill="1" applyBorder="1"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pplyProtection="1">
      <alignment vertical="center"/>
      <protection locked="0"/>
    </xf>
    <xf numFmtId="0" fontId="13" fillId="0" borderId="0" xfId="0" applyFont="1"/>
    <xf numFmtId="0" fontId="9" fillId="15" borderId="0" xfId="0" applyFont="1" applyFill="1" applyAlignment="1">
      <alignment horizontal="left" vertical="top"/>
    </xf>
    <xf numFmtId="0" fontId="21" fillId="0" borderId="12" xfId="0" applyFont="1" applyBorder="1" applyAlignment="1">
      <alignment vertical="center"/>
    </xf>
    <xf numFmtId="0" fontId="21" fillId="0" borderId="13" xfId="0" applyFont="1" applyBorder="1" applyAlignment="1">
      <alignment horizontal="center" vertical="center"/>
    </xf>
    <xf numFmtId="164" fontId="22" fillId="0" borderId="0" xfId="0" applyNumberFormat="1" applyFont="1" applyAlignment="1">
      <alignment vertical="center"/>
    </xf>
    <xf numFmtId="0" fontId="7" fillId="0" borderId="0" xfId="0" applyFont="1" applyAlignment="1">
      <alignment horizontal="center" vertical="center"/>
    </xf>
    <xf numFmtId="44" fontId="10" fillId="0" borderId="15" xfId="2" applyFont="1" applyFill="1" applyBorder="1" applyAlignment="1">
      <alignment vertical="center"/>
    </xf>
    <xf numFmtId="0" fontId="9" fillId="5" borderId="0" xfId="0" applyFont="1" applyFill="1" applyAlignment="1">
      <alignment vertical="center"/>
    </xf>
    <xf numFmtId="0" fontId="9" fillId="5" borderId="0" xfId="0" applyFont="1" applyFill="1" applyAlignment="1">
      <alignment horizontal="left" vertical="center" indent="27"/>
    </xf>
    <xf numFmtId="0" fontId="9" fillId="0" borderId="0" xfId="0" applyFont="1" applyAlignment="1">
      <alignment horizontal="left" vertical="center" indent="27"/>
    </xf>
    <xf numFmtId="0" fontId="9" fillId="0" borderId="0" xfId="0" applyFont="1" applyAlignment="1">
      <alignment horizontal="center" vertical="center"/>
    </xf>
    <xf numFmtId="0" fontId="9" fillId="9"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0" xfId="0" applyFont="1" applyFill="1" applyAlignment="1">
      <alignment horizontal="center" vertical="center"/>
    </xf>
    <xf numFmtId="44" fontId="9" fillId="9" borderId="2" xfId="2" applyFont="1" applyFill="1" applyBorder="1" applyAlignment="1" applyProtection="1">
      <alignment vertical="center"/>
    </xf>
    <xf numFmtId="44" fontId="9" fillId="0" borderId="0" xfId="2" applyFont="1" applyFill="1" applyBorder="1" applyAlignment="1" applyProtection="1">
      <alignment horizontal="right" vertical="center"/>
    </xf>
    <xf numFmtId="0" fontId="9" fillId="0" borderId="0" xfId="0" applyFont="1" applyAlignment="1">
      <alignment vertical="center"/>
    </xf>
    <xf numFmtId="0" fontId="9" fillId="7" borderId="0" xfId="0" applyFont="1" applyFill="1" applyAlignment="1">
      <alignment horizontal="left" vertical="center"/>
    </xf>
    <xf numFmtId="0" fontId="9" fillId="7" borderId="0" xfId="0" applyFont="1" applyFill="1" applyAlignment="1">
      <alignment vertical="center"/>
    </xf>
    <xf numFmtId="0" fontId="9" fillId="7" borderId="0" xfId="0" applyFont="1" applyFill="1" applyAlignment="1">
      <alignment horizontal="left" vertical="center" indent="27"/>
    </xf>
    <xf numFmtId="0" fontId="9" fillId="10" borderId="4"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3" xfId="0" applyFont="1" applyFill="1" applyBorder="1" applyAlignment="1">
      <alignment horizontal="center" vertical="center"/>
    </xf>
    <xf numFmtId="1" fontId="5" fillId="0" borderId="0" xfId="2" applyNumberFormat="1" applyFont="1" applyFill="1" applyBorder="1" applyAlignment="1" applyProtection="1">
      <alignment horizontal="center"/>
    </xf>
    <xf numFmtId="44" fontId="9" fillId="7" borderId="0" xfId="2" applyFont="1" applyFill="1" applyBorder="1" applyAlignment="1" applyProtection="1">
      <alignment vertical="center"/>
    </xf>
    <xf numFmtId="0" fontId="9" fillId="0" borderId="0" xfId="0" applyFont="1" applyBorder="1" applyAlignment="1">
      <alignment horizontal="right" vertical="center"/>
    </xf>
    <xf numFmtId="0" fontId="9" fillId="6" borderId="0" xfId="0" applyFont="1" applyFill="1" applyAlignment="1">
      <alignment horizontal="left" vertical="center"/>
    </xf>
    <xf numFmtId="0" fontId="9" fillId="6" borderId="0" xfId="0" applyFont="1" applyFill="1" applyAlignment="1">
      <alignment vertical="center"/>
    </xf>
    <xf numFmtId="0" fontId="9" fillId="6" borderId="0" xfId="0" applyFont="1" applyFill="1" applyAlignment="1">
      <alignment horizontal="left" vertical="center" indent="25"/>
    </xf>
    <xf numFmtId="0" fontId="9" fillId="0" borderId="0" xfId="0" applyFont="1" applyAlignment="1">
      <alignment horizontal="left" vertical="center" indent="25"/>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3" xfId="0" applyFont="1" applyFill="1" applyBorder="1" applyAlignment="1">
      <alignment horizontal="center" vertical="center" wrapText="1"/>
    </xf>
    <xf numFmtId="44" fontId="9" fillId="6" borderId="2" xfId="2" applyFont="1" applyFill="1" applyBorder="1" applyAlignment="1" applyProtection="1">
      <alignment vertical="center"/>
    </xf>
    <xf numFmtId="44" fontId="9" fillId="6" borderId="11" xfId="2" applyFont="1" applyFill="1" applyBorder="1" applyAlignment="1">
      <alignment vertical="center"/>
    </xf>
    <xf numFmtId="0" fontId="9" fillId="0" borderId="0" xfId="0" applyFont="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left" vertical="center" indent="27"/>
    </xf>
    <xf numFmtId="0" fontId="23" fillId="12" borderId="16" xfId="0" applyFont="1" applyFill="1" applyBorder="1" applyAlignment="1">
      <alignment horizontal="center" vertical="center" wrapText="1"/>
    </xf>
    <xf numFmtId="0" fontId="23" fillId="12" borderId="17" xfId="0" applyFont="1" applyFill="1" applyBorder="1" applyAlignment="1">
      <alignment horizontal="center" vertical="center" wrapText="1"/>
    </xf>
    <xf numFmtId="0" fontId="23" fillId="12" borderId="18" xfId="0" applyFont="1" applyFill="1" applyBorder="1" applyAlignment="1">
      <alignment horizontal="center" vertical="center" wrapText="1"/>
    </xf>
    <xf numFmtId="0" fontId="24" fillId="0" borderId="0" xfId="2" applyNumberFormat="1" applyFont="1" applyFill="1" applyBorder="1" applyAlignment="1" applyProtection="1">
      <alignment horizontal="left"/>
    </xf>
    <xf numFmtId="44" fontId="9" fillId="0" borderId="0" xfId="2" applyFont="1" applyFill="1" applyBorder="1" applyAlignment="1" applyProtection="1"/>
    <xf numFmtId="44" fontId="9" fillId="2" borderId="2" xfId="2" applyFont="1" applyFill="1" applyBorder="1" applyAlignment="1" applyProtection="1">
      <alignment vertical="center"/>
    </xf>
    <xf numFmtId="0" fontId="9" fillId="3" borderId="0" xfId="0" applyFont="1" applyFill="1" applyAlignment="1">
      <alignment horizontal="left" vertical="center"/>
    </xf>
    <xf numFmtId="0" fontId="9" fillId="3" borderId="0" xfId="0" applyFont="1" applyFill="1" applyAlignment="1">
      <alignment vertical="center"/>
    </xf>
    <xf numFmtId="0" fontId="9" fillId="3" borderId="0" xfId="0" applyFont="1" applyFill="1" applyAlignment="1">
      <alignment horizontal="left" vertical="center" indent="27"/>
    </xf>
    <xf numFmtId="0" fontId="9" fillId="4" borderId="4"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11" borderId="19" xfId="0" applyFont="1" applyFill="1" applyBorder="1" applyAlignment="1">
      <alignment horizontal="center" vertical="center" wrapText="1"/>
    </xf>
    <xf numFmtId="0" fontId="9" fillId="4" borderId="3" xfId="0" applyFont="1" applyFill="1" applyBorder="1" applyAlignment="1">
      <alignment horizontal="center" vertical="center" wrapText="1"/>
    </xf>
    <xf numFmtId="44" fontId="24" fillId="0" borderId="0" xfId="2" applyFont="1" applyFill="1" applyBorder="1" applyAlignment="1" applyProtection="1">
      <alignment horizontal="left"/>
    </xf>
    <xf numFmtId="44" fontId="9" fillId="4" borderId="1" xfId="2" applyFont="1" applyFill="1" applyBorder="1" applyAlignment="1" applyProtection="1">
      <alignment vertical="center"/>
    </xf>
    <xf numFmtId="0" fontId="7" fillId="2" borderId="0" xfId="0" applyFont="1" applyFill="1" applyAlignment="1">
      <alignment horizontal="left" vertical="center" indent="1"/>
    </xf>
  </cellXfs>
  <cellStyles count="10">
    <cellStyle name="Currency" xfId="8" builtinId="4"/>
    <cellStyle name="Currency 2" xfId="2"/>
    <cellStyle name="Currency 3" xfId="5"/>
    <cellStyle name="Hyperlink" xfId="9" builtinId="8"/>
    <cellStyle name="Hyperlink 2" xfId="6"/>
    <cellStyle name="Normal" xfId="0" builtinId="0"/>
    <cellStyle name="Normal 2" xfId="3"/>
    <cellStyle name="Normal 3" xfId="1"/>
    <cellStyle name="Normal 4" xfId="4"/>
    <cellStyle name="Percent 2" xfId="7"/>
  </cellStyles>
  <dxfs count="130">
    <dxf>
      <font>
        <b val="0"/>
        <i val="0"/>
        <strike val="0"/>
        <condense val="0"/>
        <extend val="0"/>
        <outline val="0"/>
        <shadow val="0"/>
        <u val="none"/>
        <vertAlign val="baseline"/>
        <sz val="9"/>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1" indent="0" justifyLastLine="0" shrinkToFit="0" readingOrder="0"/>
    </dxf>
    <dxf>
      <font>
        <b val="0"/>
        <strike val="0"/>
        <outline val="0"/>
        <shadow val="0"/>
        <u val="none"/>
        <vertAlign val="baseline"/>
        <sz val="9"/>
        <color theme="1"/>
        <name val="Calibri"/>
        <scheme val="minor"/>
      </font>
    </dxf>
    <dxf>
      <font>
        <b/>
        <strike val="0"/>
        <outline val="0"/>
        <shadow val="0"/>
        <u val="none"/>
        <vertAlign val="baseline"/>
        <sz val="9"/>
        <color theme="1"/>
        <name val="Calibri"/>
        <scheme val="minor"/>
      </font>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none">
          <bgColor auto="1"/>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i/>
      </font>
      <fill>
        <patternFill patternType="none">
          <fgColor indexed="64"/>
          <bgColor indexed="65"/>
        </patternFill>
      </fill>
      <alignment horizontal="center" vertical="bottom" textRotation="0" wrapText="0" indent="0" justifyLastLine="0" shrinkToFit="0" readingOrder="0"/>
      <protection locked="1" hidden="0"/>
    </dxf>
    <dxf>
      <font>
        <i/>
      </font>
    </dxf>
    <dxf>
      <font>
        <i/>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color theme="1"/>
        <name val="Calibri"/>
        <scheme val="none"/>
      </font>
      <fill>
        <patternFill patternType="none">
          <fgColor indexed="64"/>
          <bgColor indexed="65"/>
        </patternFill>
      </fill>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i/>
      </font>
      <numFmt numFmtId="30" formatCode="@"/>
      <alignment horizontal="center" vertical="bottom" textRotation="0" wrapText="0" indent="0" justifyLastLine="0" shrinkToFit="0" readingOrder="0"/>
    </dxf>
    <dxf>
      <font>
        <i/>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dxf>
    <dxf>
      <font>
        <b val="0"/>
        <i/>
        <strike val="0"/>
        <condense val="0"/>
        <extend val="0"/>
        <outline val="0"/>
        <shadow val="0"/>
        <u val="none"/>
        <vertAlign val="baseline"/>
        <sz val="11"/>
        <color theme="1"/>
        <name val="Calibri"/>
        <scheme val="minor"/>
      </font>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font>
        <b val="0"/>
        <strike val="0"/>
        <outline val="0"/>
        <shadow val="0"/>
        <u val="none"/>
        <vertAlign val="baseline"/>
        <sz val="11"/>
        <name val="Century Gothic"/>
        <scheme val="none"/>
      </font>
      <fill>
        <patternFill patternType="none">
          <fgColor indexed="64"/>
          <bgColor indexed="65"/>
        </patternFill>
      </fill>
      <protection locked="1" hidden="0"/>
    </dxf>
    <dxf>
      <font>
        <b val="0"/>
        <i val="0"/>
        <strike val="0"/>
        <condense val="0"/>
        <extend val="0"/>
        <outline val="0"/>
        <shadow val="0"/>
        <u val="none"/>
        <vertAlign val="baseline"/>
        <sz val="11"/>
        <color theme="1"/>
        <name val="Century Gothic"/>
        <scheme val="none"/>
      </font>
      <fill>
        <patternFill patternType="none">
          <fgColor indexed="64"/>
          <bgColor indexed="65"/>
        </patternFill>
      </fill>
      <alignment vertical="center" textRotation="0" wrapText="0" indent="0" justifyLastLine="0" shrinkToFit="0" readingOrder="0"/>
      <protection locked="1" hidden="0"/>
    </dxf>
    <dxf>
      <border outline="0">
        <bottom style="medium">
          <color indexed="64"/>
        </bottom>
      </border>
    </dxf>
    <dxf>
      <font>
        <b val="0"/>
        <strike val="0"/>
        <outline val="0"/>
        <shadow val="0"/>
        <u val="none"/>
        <vertAlign val="baseline"/>
        <sz val="11"/>
        <name val="Century Gothic"/>
        <scheme val="none"/>
      </font>
      <protection locked="1" hidden="0"/>
    </dxf>
    <dxf>
      <font>
        <b val="0"/>
      </font>
    </dxf>
    <dxf>
      <font>
        <b val="0"/>
        <strike val="0"/>
        <outline val="0"/>
        <shadow val="0"/>
        <u val="none"/>
        <vertAlign val="baseline"/>
        <sz val="11"/>
        <color theme="1"/>
        <name val="Century Gothic"/>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strike val="0"/>
        <outline val="0"/>
        <shadow val="0"/>
        <u val="none"/>
        <vertAlign val="baseline"/>
        <sz val="11"/>
        <color theme="1"/>
        <name val="Century Gothic"/>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entury Gothic"/>
        <scheme val="none"/>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strike val="0"/>
        <outline val="0"/>
        <shadow val="0"/>
        <u val="none"/>
        <vertAlign val="baseline"/>
        <sz val="11"/>
        <color theme="1"/>
        <name val="Century Gothic"/>
        <scheme val="none"/>
      </font>
      <fill>
        <patternFill patternType="none">
          <fgColor indexed="64"/>
          <bgColor auto="1"/>
        </patternFill>
      </fill>
      <alignment vertical="bottom" textRotation="0" wrapText="0" indent="0" justifyLastLine="0" shrinkToFit="0" readingOrder="0"/>
      <protection locked="1" hidden="0"/>
    </dxf>
    <dxf>
      <border outline="0">
        <top style="thin">
          <color theme="0" tint="-0.249977111117893"/>
        </top>
      </border>
    </dxf>
    <dxf>
      <border outline="0">
        <bottom style="thin">
          <color theme="0" tint="-0.249977111117893"/>
        </bottom>
      </border>
    </dxf>
    <dxf>
      <font>
        <b val="0"/>
        <strike val="0"/>
        <outline val="0"/>
        <shadow val="0"/>
        <u val="none"/>
        <vertAlign val="baseline"/>
        <sz val="11"/>
        <color theme="1"/>
        <name val="Century Gothic"/>
        <scheme val="none"/>
      </font>
      <fill>
        <patternFill patternType="none">
          <fgColor indexed="64"/>
          <bgColor auto="1"/>
        </patternFill>
      </fill>
      <protection locked="1" hidden="0"/>
    </dxf>
    <dxf>
      <border outline="0">
        <bottom style="thin">
          <color theme="0" tint="-0.249977111117893"/>
        </bottom>
      </border>
    </dxf>
    <dxf>
      <font>
        <b val="0"/>
        <i val="0"/>
        <strike val="0"/>
        <condense val="0"/>
        <extend val="0"/>
        <outline val="0"/>
        <shadow val="0"/>
        <u val="none"/>
        <vertAlign val="baseline"/>
        <sz val="11"/>
        <color theme="0"/>
        <name val="Century Gothic"/>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protection locked="1" hidden="0"/>
    </dxf>
    <dxf>
      <font>
        <b val="0"/>
        <strike val="0"/>
        <outline val="0"/>
        <shadow val="0"/>
        <u val="none"/>
        <vertAlign val="baseline"/>
        <sz val="11"/>
        <color theme="1"/>
        <name val="Century Gothic"/>
        <scheme val="none"/>
      </font>
      <numFmt numFmtId="34" formatCode="_(&quot;$&quot;* #,##0.00_);_(&quot;$&quot;* \(#,##0.00\);_(&quot;$&quot;* &quot;-&quot;??_);_(@_)"/>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theme="1"/>
        <name val="Century Gothic"/>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entury Gothic"/>
        <scheme val="none"/>
      </font>
      <fill>
        <patternFill patternType="none">
          <fgColor indexed="64"/>
          <bgColor indexed="65"/>
        </patternFill>
      </fill>
      <alignment vertical="bottom" textRotation="0" wrapText="0" indent="0" justifyLastLine="0" shrinkToFit="0" readingOrder="0"/>
      <protection locked="0" hidden="0"/>
    </dxf>
    <dxf>
      <font>
        <b val="0"/>
        <strike val="0"/>
        <outline val="0"/>
        <shadow val="0"/>
        <u val="none"/>
        <vertAlign val="baseline"/>
        <sz val="11"/>
        <color theme="1"/>
        <name val="Century Gothic"/>
        <scheme val="none"/>
      </font>
      <fill>
        <patternFill patternType="none">
          <fgColor indexed="64"/>
          <bgColor auto="1"/>
        </patternFill>
      </fill>
      <alignment vertical="bottom" textRotation="0" wrapText="0" indent="0" justifyLastLine="0" shrinkToFit="0" readingOrder="0"/>
      <protection locked="1" hidden="0"/>
    </dxf>
    <dxf>
      <border outline="0">
        <top style="thin">
          <color theme="0" tint="-0.249977111117893"/>
        </top>
      </border>
    </dxf>
    <dxf>
      <border outline="0">
        <bottom style="thin">
          <color theme="0" tint="-0.249977111117893"/>
        </bottom>
      </border>
    </dxf>
    <dxf>
      <font>
        <b val="0"/>
        <strike val="0"/>
        <outline val="0"/>
        <shadow val="0"/>
        <u val="none"/>
        <vertAlign val="baseline"/>
        <sz val="11"/>
        <color theme="1"/>
        <name val="Century Gothic"/>
        <scheme val="none"/>
      </font>
      <fill>
        <patternFill patternType="none">
          <fgColor indexed="64"/>
          <bgColor auto="1"/>
        </patternFill>
      </fill>
      <protection locked="1" hidden="0"/>
    </dxf>
    <dxf>
      <border outline="0">
        <bottom style="thin">
          <color theme="0" tint="-0.249977111117893"/>
        </bottom>
      </border>
    </dxf>
    <dxf>
      <font>
        <b val="0"/>
        <i val="0"/>
        <strike val="0"/>
        <condense val="0"/>
        <extend val="0"/>
        <outline val="0"/>
        <shadow val="0"/>
        <u val="none"/>
        <vertAlign val="baseline"/>
        <sz val="11"/>
        <color theme="0"/>
        <name val="Century Gothic"/>
        <scheme val="none"/>
      </font>
      <fill>
        <patternFill patternType="solid">
          <fgColor indexed="64"/>
          <bgColor rgb="FFAA4D0E"/>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protection locked="1" hidden="0"/>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general" vertical="center" textRotation="0" wrapText="0" indent="0" justifyLastLine="0" shrinkToFit="0" readingOrder="0"/>
      <protection locked="1" hidden="0"/>
    </dxf>
    <dxf>
      <font>
        <b val="0"/>
        <i/>
        <strike val="0"/>
        <condense val="0"/>
        <extend val="0"/>
        <outline val="0"/>
        <shadow val="0"/>
        <u val="none"/>
        <vertAlign val="baseline"/>
        <sz val="11"/>
        <color theme="1"/>
        <name val="Century Gothic"/>
        <scheme val="none"/>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1"/>
        <color theme="1"/>
        <name val="Century Gothic"/>
        <scheme val="none"/>
      </font>
      <numFmt numFmtId="34" formatCode="_(&quot;$&quot;* #,##0.00_);_(&quot;$&quot;* \(#,##0.00\);_(&quot;$&quot;* &quot;-&quot;??_);_(@_)"/>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1"/>
        <color theme="1"/>
        <name val="Century Gothic"/>
        <scheme val="none"/>
      </font>
      <fill>
        <patternFill patternType="none">
          <fgColor indexed="64"/>
          <bgColor indexed="65"/>
        </patternFill>
      </fill>
      <alignment horizontal="left" vertical="center" textRotation="0" wrapText="0" indent="1" justifyLastLine="0" shrinkToFit="0" readingOrder="0"/>
      <protection locked="1" hidden="0"/>
    </dxf>
    <dxf>
      <border outline="0">
        <top style="thin">
          <color theme="0" tint="-0.249977111117893"/>
        </top>
      </border>
    </dxf>
    <dxf>
      <border outline="0">
        <left style="thin">
          <color theme="0" tint="-0.249977111117893"/>
        </left>
        <right style="thin">
          <color theme="0" tint="-0.249977111117893"/>
        </right>
        <bottom style="thin">
          <color theme="0" tint="-0.249977111117893"/>
        </bottom>
      </border>
    </dxf>
    <dxf>
      <font>
        <b val="0"/>
        <strike val="0"/>
        <outline val="0"/>
        <shadow val="0"/>
        <vertAlign val="baseline"/>
        <sz val="11"/>
        <name val="Century Gothic"/>
        <scheme val="none"/>
      </font>
      <fill>
        <patternFill patternType="none">
          <fgColor indexed="64"/>
          <bgColor auto="1"/>
        </patternFill>
      </fill>
      <protection locked="1" hidden="0"/>
    </dxf>
    <dxf>
      <border outline="0">
        <bottom style="thin">
          <color theme="0" tint="-0.249977111117893"/>
        </bottom>
      </border>
    </dxf>
    <dxf>
      <font>
        <b val="0"/>
        <i val="0"/>
        <strike val="0"/>
        <condense val="0"/>
        <extend val="0"/>
        <outline val="0"/>
        <shadow val="0"/>
        <u val="none"/>
        <vertAlign val="baseline"/>
        <sz val="11"/>
        <color theme="0"/>
        <name val="Century Gothic"/>
        <scheme val="none"/>
      </font>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protection locked="1" hidden="0"/>
    </dxf>
    <dxf>
      <font>
        <b val="0"/>
        <i val="0"/>
        <strike val="0"/>
        <condense val="0"/>
        <extend val="0"/>
        <outline val="0"/>
        <shadow val="0"/>
        <u val="none"/>
        <vertAlign val="baseline"/>
        <sz val="11"/>
        <color theme="1"/>
        <name val="Century Gothic"/>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strike val="0"/>
        <outline val="0"/>
        <shadow val="0"/>
        <vertAlign val="baseline"/>
        <sz val="11"/>
        <name val="Century Gothic"/>
        <scheme val="none"/>
      </font>
      <protection locked="1" hidden="0"/>
    </dxf>
    <dxf>
      <font>
        <b val="0"/>
        <i val="0"/>
        <strike val="0"/>
        <condense val="0"/>
        <extend val="0"/>
        <outline val="0"/>
        <shadow val="0"/>
        <u val="none"/>
        <vertAlign val="baseline"/>
        <sz val="11"/>
        <color theme="1"/>
        <name val="Century Gothic"/>
        <scheme val="none"/>
      </font>
      <fill>
        <patternFill patternType="none">
          <fgColor indexed="64"/>
          <bgColor auto="1"/>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1"/>
        <color theme="1"/>
        <name val="Century Gothic"/>
        <scheme val="none"/>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1"/>
        <color theme="1"/>
        <name val="Century Gothic"/>
        <scheme val="none"/>
      </font>
      <fill>
        <patternFill patternType="none">
          <fgColor indexed="64"/>
          <bgColor auto="1"/>
        </patternFill>
      </fill>
      <alignment horizontal="left" vertical="center" textRotation="0" wrapText="0" indent="1" justifyLastLine="0" shrinkToFit="0" readingOrder="0"/>
      <protection locked="1" hidden="0"/>
    </dxf>
    <dxf>
      <border outline="0">
        <top style="thin">
          <color theme="0" tint="-0.249977111117893"/>
        </top>
      </border>
    </dxf>
    <dxf>
      <border outline="0">
        <left style="thin">
          <color theme="0" tint="-0.249977111117893"/>
        </left>
        <right style="thin">
          <color theme="0" tint="-0.249977111117893"/>
        </right>
        <bottom style="thin">
          <color theme="0" tint="-0.249977111117893"/>
        </bottom>
      </border>
    </dxf>
    <dxf>
      <font>
        <b val="0"/>
        <strike val="0"/>
        <outline val="0"/>
        <shadow val="0"/>
        <vertAlign val="baseline"/>
        <sz val="11"/>
        <name val="Century Gothic"/>
        <scheme val="none"/>
      </font>
      <fill>
        <patternFill patternType="none">
          <fgColor indexed="64"/>
          <bgColor auto="1"/>
        </patternFill>
      </fill>
      <protection locked="1" hidden="0"/>
    </dxf>
    <dxf>
      <border outline="0">
        <bottom style="thin">
          <color theme="0" tint="-0.249977111117893"/>
        </bottom>
      </border>
    </dxf>
    <dxf>
      <font>
        <b val="0"/>
        <i val="0"/>
        <strike val="0"/>
        <condense val="0"/>
        <extend val="0"/>
        <outline val="0"/>
        <shadow val="0"/>
        <u val="none"/>
        <vertAlign val="baseline"/>
        <sz val="11"/>
        <color theme="0"/>
        <name val="Century Gothic"/>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protection locked="1" hidden="0"/>
    </dxf>
    <dxf>
      <font>
        <b val="0"/>
        <i val="0"/>
        <strike val="0"/>
        <condense val="0"/>
        <extend val="0"/>
        <outline val="0"/>
        <shadow val="0"/>
        <u val="none"/>
        <vertAlign val="baseline"/>
        <sz val="11"/>
        <color theme="1"/>
        <name val="Century Gothic"/>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Century Gothic"/>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val="0"/>
        <i/>
        <strike val="0"/>
        <condense val="0"/>
        <extend val="0"/>
        <outline val="0"/>
        <shadow val="0"/>
        <u val="none"/>
        <vertAlign val="baseline"/>
        <sz val="11"/>
        <color theme="1"/>
        <name val="Century Gothic"/>
        <scheme val="none"/>
      </font>
      <fill>
        <patternFill patternType="none">
          <fgColor indexed="64"/>
          <bgColor indexed="65"/>
        </patternFill>
      </fill>
      <alignment horizontal="left" vertical="center" textRotation="0" wrapText="1" indent="0" justifyLastLine="0" shrinkToFit="0" readingOrder="0"/>
      <protection locked="1" hidden="0"/>
    </dxf>
    <dxf>
      <font>
        <b val="0"/>
        <i/>
        <strike val="0"/>
        <condense val="0"/>
        <extend val="0"/>
        <outline val="0"/>
        <shadow val="0"/>
        <u val="none"/>
        <vertAlign val="baseline"/>
        <sz val="11"/>
        <color theme="1"/>
        <name val="Century Gothic"/>
        <scheme val="none"/>
      </font>
      <fill>
        <patternFill patternType="none">
          <fgColor indexed="64"/>
          <bgColor indexed="65"/>
        </patternFill>
      </fill>
      <alignment horizontal="left" vertical="center" textRotation="0" wrapText="1" indent="0" justifyLastLine="0" shrinkToFit="0" readingOrder="0"/>
      <protection locked="1" hidden="0"/>
    </dxf>
    <dxf>
      <font>
        <b val="0"/>
        <strike val="0"/>
        <outline val="0"/>
        <shadow val="0"/>
        <u val="none"/>
        <vertAlign val="baseline"/>
        <sz val="11"/>
        <name val="Century Gothic"/>
        <scheme val="none"/>
      </font>
      <fill>
        <patternFill patternType="none">
          <fgColor indexed="64"/>
          <bgColor auto="1"/>
        </patternFill>
      </fill>
      <alignment vertical="center" textRotation="0" indent="0" justifyLastLine="0" shrinkToFit="0" readingOrder="0"/>
      <protection locked="1" hidden="0"/>
    </dxf>
    <dxf>
      <border outline="0">
        <top style="thin">
          <color theme="0" tint="-0.249977111117893"/>
        </top>
      </border>
    </dxf>
    <dxf>
      <border outline="0">
        <left style="thin">
          <color theme="0" tint="-0.249977111117893"/>
        </left>
        <right style="thin">
          <color theme="0" tint="-0.249977111117893"/>
        </right>
        <bottom style="thin">
          <color theme="0" tint="-0.249977111117893"/>
        </bottom>
      </border>
    </dxf>
    <dxf>
      <font>
        <b val="0"/>
        <strike val="0"/>
        <outline val="0"/>
        <shadow val="0"/>
        <u val="none"/>
        <vertAlign val="baseline"/>
        <sz val="11"/>
        <name val="Century Gothic"/>
        <scheme val="none"/>
      </font>
      <fill>
        <patternFill patternType="none">
          <fgColor indexed="64"/>
          <bgColor auto="1"/>
        </patternFill>
      </fill>
      <protection locked="1" hidden="0"/>
    </dxf>
    <dxf>
      <border outline="0">
        <bottom style="thin">
          <color theme="0" tint="-0.249977111117893"/>
        </bottom>
      </border>
    </dxf>
    <dxf>
      <font>
        <b val="0"/>
        <i val="0"/>
        <strike val="0"/>
        <condense val="0"/>
        <extend val="0"/>
        <outline val="0"/>
        <shadow val="0"/>
        <u val="none"/>
        <vertAlign val="baseline"/>
        <sz val="11"/>
        <color theme="1"/>
        <name val="Century Gothic"/>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protection locked="1" hidden="0"/>
    </dxf>
    <dxf>
      <fill>
        <patternFill>
          <bgColor theme="0"/>
        </patternFill>
      </fill>
    </dxf>
    <dxf>
      <fill>
        <patternFill>
          <bgColor theme="9" tint="0.79998168889431442"/>
        </patternFill>
      </fill>
    </dxf>
    <dxf>
      <fill>
        <patternFill>
          <bgColor theme="9" tint="-0.24994659260841701"/>
        </patternFill>
      </fill>
    </dxf>
    <dxf>
      <fill>
        <patternFill>
          <bgColor theme="0"/>
        </patternFill>
      </fill>
    </dxf>
    <dxf>
      <fill>
        <patternFill>
          <bgColor theme="0" tint="-0.14996795556505021"/>
        </patternFill>
      </fill>
    </dxf>
    <dxf>
      <fill>
        <patternFill>
          <bgColor theme="0" tint="-0.499984740745262"/>
        </patternFill>
      </fill>
    </dxf>
    <dxf>
      <fill>
        <patternFill>
          <bgColor theme="0"/>
        </patternFill>
      </fill>
    </dxf>
    <dxf>
      <fill>
        <patternFill>
          <bgColor theme="3" tint="0.79998168889431442"/>
        </patternFill>
      </fill>
    </dxf>
    <dxf>
      <fill>
        <patternFill>
          <bgColor theme="4" tint="-0.499984740745262"/>
        </patternFill>
      </fill>
    </dxf>
  </dxfs>
  <tableStyles count="3" defaultTableStyle="TableStyleMedium2" defaultPivotStyle="PivotStyleLight16">
    <tableStyle name="Table Style 1" pivot="0" count="3">
      <tableStyleElement type="headerRow" dxfId="129"/>
      <tableStyleElement type="firstRowStripe" dxfId="128"/>
      <tableStyleElement type="secondRowStripe" dxfId="127"/>
    </tableStyle>
    <tableStyle name="Table Style 2" pivot="0" count="3">
      <tableStyleElement type="headerRow" dxfId="126"/>
      <tableStyleElement type="firstRowStripe" dxfId="125"/>
      <tableStyleElement type="secondRowStripe" dxfId="124"/>
    </tableStyle>
    <tableStyle name="Table Style 3" pivot="0" count="3">
      <tableStyleElement type="headerRow" dxfId="123"/>
      <tableStyleElement type="firstRowStripe" dxfId="122"/>
      <tableStyleElement type="secondRowStripe" dxfId="121"/>
    </tableStyle>
  </tableStyles>
  <colors>
    <mruColors>
      <color rgb="FF62983E"/>
      <color rgb="FFAA4D0E"/>
      <color rgb="FF142340"/>
      <color rgb="FFE2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1" displayName="Table1" ref="A39:E52" totalsRowShown="0" headerRowDxfId="120" dataDxfId="118" headerRowBorderDxfId="119" tableBorderDxfId="117" totalsRowBorderDxfId="116">
  <autoFilter ref="A39:E52">
    <filterColumn colId="0" hiddenButton="1"/>
    <filterColumn colId="1" hiddenButton="1"/>
    <filterColumn colId="2" hiddenButton="1"/>
    <filterColumn colId="3" hiddenButton="1"/>
    <filterColumn colId="4" hiddenButton="1"/>
  </autoFilter>
  <tableColumns count="5">
    <tableColumn id="1" name="SUSPECT-PCB BUILDING MATERIAL / TASK" dataDxfId="115"/>
    <tableColumn id="6" name="MEASUREMENT " dataDxfId="114"/>
    <tableColumn id="7" name=" QUANTITY RANGE" dataDxfId="113"/>
    <tableColumn id="3" name="NUMBER OF SAMPLES" dataDxfId="112" dataCellStyle="Currency 2">
      <calculatedColumnFormula>IF(C40="1-1000 SF",3, IF(C40="1000-5000 SF",5, IF(C40="More than 5000 SF",7, IF(C40="1-50 LF",2, IF(C40="50-250 LF",3, IF(C40="250-1000 LF",5, IF(C40="1000-2500 LF",7, IF(C40="More than 2500 LF",9, IF(ISBLANK(C40),"0",)))))))))</calculatedColumnFormula>
    </tableColumn>
    <tableColumn id="5" name="ESTIMATED TOTAL" dataDxfId="111" dataCellStyle="Currency 2">
      <calculatedColumnFormula>D40*#REF!</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PCB Sampling, Analysis and Report Expenses"/>
    </ext>
  </extLst>
</table>
</file>

<file path=xl/tables/table10.xml><?xml version="1.0" encoding="utf-8"?>
<table xmlns="http://schemas.openxmlformats.org/spreadsheetml/2006/main" id="8" name="Table8" displayName="Table8" ref="D16:F21" totalsRowShown="0" headerRowDxfId="47" dataDxfId="46">
  <autoFilter ref="D16:F21">
    <filterColumn colId="0" hiddenButton="1"/>
    <filterColumn colId="1" hiddenButton="1"/>
    <filterColumn colId="2" hiddenButton="1"/>
  </autoFilter>
  <tableColumns count="3">
    <tableColumn id="1" name="Type" dataDxfId="45"/>
    <tableColumn id="2" name="Select Project Size" dataDxfId="44"/>
    <tableColumn id="3" name="$                                      -   " dataDxfId="43"/>
  </tableColumns>
  <tableStyleInfo name="TableStyleLight1" showFirstColumn="0" showLastColumn="0" showRowStripes="1" showColumnStripes="0"/>
</table>
</file>

<file path=xl/tables/table11.xml><?xml version="1.0" encoding="utf-8"?>
<table xmlns="http://schemas.openxmlformats.org/spreadsheetml/2006/main" id="9" name="Table810" displayName="Table810" ref="D3:I12" totalsRowShown="0" headerRowDxfId="42" dataDxfId="41">
  <autoFilter ref="D3:I12">
    <filterColumn colId="0" hiddenButton="1"/>
    <filterColumn colId="1" hiddenButton="1"/>
    <filterColumn colId="2" hiddenButton="1"/>
    <filterColumn colId="3" hiddenButton="1"/>
    <filterColumn colId="4" hiddenButton="1"/>
    <filterColumn colId="5" hiddenButton="1"/>
  </autoFilter>
  <tableColumns count="6">
    <tableColumn id="1" name="Type" dataDxfId="40"/>
    <tableColumn id="2" name="Unit" dataDxfId="39"/>
    <tableColumn id="3" name="Cost" dataDxfId="38"/>
    <tableColumn id="4" name="Select Project Size" dataDxfId="37"/>
    <tableColumn id="5" name="$                                   -   " dataDxfId="36"/>
    <tableColumn id="6" name="Select Report" dataDxfId="35"/>
  </tableColumns>
  <tableStyleInfo name="TableStyleLight1" showFirstColumn="0" showLastColumn="0" showRowStripes="1" showColumnStripes="0"/>
</table>
</file>

<file path=xl/tables/table12.xml><?xml version="1.0" encoding="utf-8"?>
<table xmlns="http://schemas.openxmlformats.org/spreadsheetml/2006/main" id="11" name="Table11" displayName="Table11" ref="A1:B13" totalsRowShown="0" headerRowDxfId="34" headerRowBorderDxfId="33" tableBorderDxfId="32">
  <autoFilter ref="A1:B13"/>
  <tableColumns count="2">
    <tableColumn id="1" name="Select PCB Sample Type" dataDxfId="31"/>
    <tableColumn id="2" name="Measurement Type" dataDxfId="30"/>
  </tableColumns>
  <tableStyleInfo name="Table Style 2" showFirstColumn="0" showLastColumn="0" showRowStripes="1" showColumnStripes="0"/>
</table>
</file>

<file path=xl/tables/table13.xml><?xml version="1.0" encoding="utf-8"?>
<table xmlns="http://schemas.openxmlformats.org/spreadsheetml/2006/main" id="14" name="Table14" displayName="Table14" ref="A18:B19" totalsRowShown="0" headerRowBorderDxfId="29" tableBorderDxfId="28">
  <autoFilter ref="A18:B19"/>
  <tableColumns count="2">
    <tableColumn id="1" name="BMPS" dataDxfId="27"/>
    <tableColumn id="2" name="COST " dataDxfId="26" dataCellStyle="Currency"/>
  </tableColumns>
  <tableStyleInfo name="Table Style 2" showFirstColumn="0" showLastColumn="0" showRowStripes="1" showColumnStripes="0"/>
</table>
</file>

<file path=xl/tables/table14.xml><?xml version="1.0" encoding="utf-8"?>
<table xmlns="http://schemas.openxmlformats.org/spreadsheetml/2006/main" id="15" name="Table15" displayName="Table15" ref="A20:B25" totalsRowShown="0">
  <autoFilter ref="A20:B25"/>
  <tableColumns count="2">
    <tableColumn id="1" name="SWP Socks and Berms" dataDxfId="25"/>
    <tableColumn id="2" name="Column2" dataDxfId="24" dataCellStyle="Currency"/>
  </tableColumns>
  <tableStyleInfo name="Table Style 2" showFirstColumn="0" showLastColumn="0" showRowStripes="1" showColumnStripes="0"/>
</table>
</file>

<file path=xl/tables/table15.xml><?xml version="1.0" encoding="utf-8"?>
<table xmlns="http://schemas.openxmlformats.org/spreadsheetml/2006/main" id="16" name="Table16" displayName="Table16" ref="A30:B35" totalsRowShown="0">
  <autoFilter ref="A30:B35"/>
  <tableColumns count="2">
    <tableColumn id="1" name="Encapsulation/enclusoure" dataDxfId="23"/>
    <tableColumn id="2" name="Column2" dataDxfId="22" dataCellStyle="Currency"/>
  </tableColumns>
  <tableStyleInfo name="Table Style 2" showFirstColumn="0" showLastColumn="0" showRowStripes="1" showColumnStripes="0"/>
</table>
</file>

<file path=xl/tables/table16.xml><?xml version="1.0" encoding="utf-8"?>
<table xmlns="http://schemas.openxmlformats.org/spreadsheetml/2006/main" id="17" name="Table17" displayName="Table17" ref="A36:B41" totalsRowShown="0">
  <autoFilter ref="A36:B41"/>
  <tableColumns count="2">
    <tableColumn id="1" name="Exterior facility cleaning" dataDxfId="21"/>
    <tableColumn id="2" name="Column2" dataDxfId="20" dataCellStyle="Currency"/>
  </tableColumns>
  <tableStyleInfo name="Table Style 2" showFirstColumn="0" showLastColumn="0" showRowStripes="1" showColumnStripes="0"/>
</table>
</file>

<file path=xl/tables/table17.xml><?xml version="1.0" encoding="utf-8"?>
<table xmlns="http://schemas.openxmlformats.org/spreadsheetml/2006/main" id="18" name="Table18" displayName="Table18" ref="A42:B47" totalsRowShown="0">
  <autoFilter ref="A42:B47"/>
  <tableColumns count="2">
    <tableColumn id="1" name="Inspections and BMP Maintenace" dataDxfId="19"/>
    <tableColumn id="2" name="Column1" dataDxfId="18" dataCellStyle="Currency"/>
  </tableColumns>
  <tableStyleInfo name="Table Style 2" showFirstColumn="0" showLastColumn="0" showRowStripes="1" showColumnStripes="0"/>
</table>
</file>

<file path=xl/tables/table18.xml><?xml version="1.0" encoding="utf-8"?>
<table xmlns="http://schemas.openxmlformats.org/spreadsheetml/2006/main" id="13" name="Table13" displayName="Table13" ref="A50:C57" totalsRowShown="0">
  <autoFilter ref="A50:C57"/>
  <tableColumns count="3">
    <tableColumn id="1" name="Expansion Joint Range" dataDxfId="17"/>
    <tableColumn id="2" name="Cost" dataDxfId="16" dataCellStyle="Currency"/>
    <tableColumn id="3" name="Hours" dataDxfId="15"/>
  </tableColumns>
  <tableStyleInfo name="Table Style 2" showFirstColumn="0" showLastColumn="0" showRowStripes="1" showColumnStripes="0"/>
</table>
</file>

<file path=xl/tables/table19.xml><?xml version="1.0" encoding="utf-8"?>
<table xmlns="http://schemas.openxmlformats.org/spreadsheetml/2006/main" id="19" name="Table1320" displayName="Table1320" ref="A60:C67" totalsRowShown="0">
  <autoFilter ref="A60:C67"/>
  <tableColumns count="3">
    <tableColumn id="1" name="Door/Window Caulking Range" dataDxfId="14"/>
    <tableColumn id="2" name="Cost" dataCellStyle="Currency"/>
    <tableColumn id="3" name="Column1" dataDxfId="13">
      <calculatedColumnFormula>1*8</calculatedColumnFormula>
    </tableColumn>
  </tableColumns>
  <tableStyleInfo name="Table Style 2" showFirstColumn="0" showLastColumn="0" showRowStripes="1" showColumnStripes="0"/>
</table>
</file>

<file path=xl/tables/table2.xml><?xml version="1.0" encoding="utf-8"?>
<table xmlns="http://schemas.openxmlformats.org/spreadsheetml/2006/main" id="2" name="Table2" displayName="Table2" ref="A57:E67" totalsRowShown="0" headerRowDxfId="110" dataDxfId="108" headerRowBorderDxfId="109" tableBorderDxfId="107" totalsRowBorderDxfId="106">
  <autoFilter ref="A57:E67">
    <filterColumn colId="0" hiddenButton="1"/>
    <filterColumn colId="1" hiddenButton="1"/>
    <filterColumn colId="2" hiddenButton="1"/>
    <filterColumn colId="3" hiddenButton="1"/>
    <filterColumn colId="4" hiddenButton="1"/>
  </autoFilter>
  <tableColumns count="5">
    <tableColumn id="1" name="PCB BUILDING MATERIAL / TASK" dataDxfId="105"/>
    <tableColumn id="6" name="MEASUREMENT " dataDxfId="104"/>
    <tableColumn id="2" name="OVERALL QUANTITY" dataDxfId="103"/>
    <tableColumn id="3" name="ESTIMATED PROJECT HOURS" dataDxfId="102"/>
    <tableColumn id="5" name="ESTIMATED TOTAL" dataDxfId="101" dataCellStyle="Currency 2">
      <calculatedColumnFormula>VLOOKUP(Tables!F41:F52,Tables!G41:G49,2,FALSE)</calculatedColumnFormula>
    </tableColumn>
  </tableColumns>
  <tableStyleInfo name="TableStyleLight18" showFirstColumn="0" showLastColumn="0" showRowStripes="1" showColumnStripes="0"/>
  <extLst>
    <ext xmlns:x14="http://schemas.microsoft.com/office/spreadsheetml/2009/9/main" uri="{504A1905-F514-4f6f-8877-14C23A59335A}">
      <x14:table altTextSummary="Demolition/Renovation PCB Expenses"/>
    </ext>
  </extLst>
</table>
</file>

<file path=xl/tables/table20.xml><?xml version="1.0" encoding="utf-8"?>
<table xmlns="http://schemas.openxmlformats.org/spreadsheetml/2006/main" id="20" name="Table132021" displayName="Table132021" ref="A69:C76" totalsRowShown="0">
  <autoFilter ref="A69:C76"/>
  <tableColumns count="3">
    <tableColumn id="1" name="Paint/Coating" dataDxfId="12"/>
    <tableColumn id="2" name="Cost" dataCellStyle="Currency"/>
    <tableColumn id="3" name="Column1" dataDxfId="11">
      <calculatedColumnFormula>11*8</calculatedColumnFormula>
    </tableColumn>
  </tableColumns>
  <tableStyleInfo name="Table Style 2" showFirstColumn="0" showLastColumn="0" showRowStripes="1" showColumnStripes="0"/>
</table>
</file>

<file path=xl/tables/table21.xml><?xml version="1.0" encoding="utf-8"?>
<table xmlns="http://schemas.openxmlformats.org/spreadsheetml/2006/main" id="21" name="Table13202122" displayName="Table13202122" ref="A78:C85" totalsRowShown="0">
  <autoFilter ref="A78:C85"/>
  <tableColumns count="3">
    <tableColumn id="1" name="Galbestos Roofing/Siding" dataDxfId="10"/>
    <tableColumn id="2" name="Cost" dataCellStyle="Currency"/>
    <tableColumn id="3" name="Column1"/>
  </tableColumns>
  <tableStyleInfo name="Table Style 2" showFirstColumn="0" showLastColumn="0" showRowStripes="1" showColumnStripes="0"/>
</table>
</file>

<file path=xl/tables/table22.xml><?xml version="1.0" encoding="utf-8"?>
<table xmlns="http://schemas.openxmlformats.org/spreadsheetml/2006/main" id="22" name="Table1320212223" displayName="Table1320212223" ref="A88:C95" totalsRowShown="0">
  <autoFilter ref="A88:C95"/>
  <tableColumns count="3">
    <tableColumn id="1" name="Substrate/Lechate Material " dataDxfId="9"/>
    <tableColumn id="2" name="Cost" dataCellStyle="Currency"/>
    <tableColumn id="3" name="Column1"/>
  </tableColumns>
  <tableStyleInfo name="Table Style 2" showFirstColumn="0" showLastColumn="0" showRowStripes="1" showColumnStripes="0"/>
</table>
</file>

<file path=xl/tables/table23.xml><?xml version="1.0" encoding="utf-8"?>
<table xmlns="http://schemas.openxmlformats.org/spreadsheetml/2006/main" id="23" name="Table132021222324" displayName="Table132021222324" ref="A98:C103" totalsRowShown="0">
  <autoFilter ref="A98:C103"/>
  <tableColumns count="3">
    <tableColumn id="1" name="Light Ballast " dataDxfId="8"/>
    <tableColumn id="2" name="Cost"/>
    <tableColumn id="3" name="Column1"/>
  </tableColumns>
  <tableStyleInfo name="Table Style 2" showFirstColumn="0" showLastColumn="0" showRowStripes="1" showColumnStripes="0"/>
</table>
</file>

<file path=xl/tables/table24.xml><?xml version="1.0" encoding="utf-8"?>
<table xmlns="http://schemas.openxmlformats.org/spreadsheetml/2006/main" id="25" name="Table25" displayName="Table25" ref="J25:K30" totalsRowShown="0">
  <autoFilter ref="J25:K30"/>
  <tableColumns count="2">
    <tableColumn id="1" name=" Select Project Size" dataDxfId="7"/>
    <tableColumn id="2" name="$                                 -   " dataDxfId="6" dataCellStyle="Currency"/>
  </tableColumns>
  <tableStyleInfo name="TableStyleLight8" showFirstColumn="0" showLastColumn="0" showRowStripes="1" showColumnStripes="0"/>
</table>
</file>

<file path=xl/tables/table25.xml><?xml version="1.0" encoding="utf-8"?>
<table xmlns="http://schemas.openxmlformats.org/spreadsheetml/2006/main" id="26" name="Table26" displayName="Table26" ref="L25:M29" totalsRowShown="0">
  <autoFilter ref="L25:M29"/>
  <tableColumns count="2">
    <tableColumn id="1" name="Select Quantity Range" dataDxfId="5"/>
    <tableColumn id="2" name="$                                  -   " dataDxfId="4" dataCellStyle="Currency"/>
  </tableColumns>
  <tableStyleInfo name="TableStyleLight8" showFirstColumn="0" showLastColumn="0" showRowStripes="1" showColumnStripes="0"/>
</table>
</file>

<file path=xl/tables/table26.xml><?xml version="1.0" encoding="utf-8"?>
<table xmlns="http://schemas.openxmlformats.org/spreadsheetml/2006/main" id="24" name="Table24" displayName="Table24" ref="A2:B16" totalsRowShown="0" headerRowDxfId="3" dataDxfId="2">
  <autoFilter ref="A2:B16"/>
  <tableColumns count="2">
    <tableColumn id="1" name="Term" dataDxfId="1"/>
    <tableColumn id="2" name="Meaning" dataDxfId="0"/>
  </tableColumns>
  <tableStyleInfo name="TableStyleMedium2" showFirstColumn="0" showLastColumn="0" showRowStripes="1" showColumnStripes="0"/>
  <extLst>
    <ext xmlns:x14="http://schemas.microsoft.com/office/spreadsheetml/2009/9/main" uri="{504A1905-F514-4f6f-8877-14C23A59335A}">
      <x14:table altTextSummary="Glossary of terms in this spreadsheet and their meaning."/>
    </ext>
  </extLst>
</table>
</file>

<file path=xl/tables/table3.xml><?xml version="1.0" encoding="utf-8"?>
<table xmlns="http://schemas.openxmlformats.org/spreadsheetml/2006/main" id="4" name="Table4" displayName="Table4" ref="A71:D80" totalsRowShown="0" headerRowDxfId="100" dataDxfId="98" headerRowBorderDxfId="99" tableBorderDxfId="97" totalsRowBorderDxfId="96">
  <autoFilter ref="A71:D80">
    <filterColumn colId="0" hiddenButton="1"/>
    <filterColumn colId="1" hiddenButton="1"/>
    <filterColumn colId="2" hiddenButton="1"/>
    <filterColumn colId="3" hiddenButton="1"/>
  </autoFilter>
  <tableColumns count="4">
    <tableColumn id="6" name="PCB BUILDING MATERIAL / TASK" dataDxfId="95"/>
    <tableColumn id="9" name="MEASUREMENT " dataDxfId="94">
      <calculatedColumnFormula>VLOOKUP(A72,Tables!A:B,2,FALSE)</calculatedColumnFormula>
    </tableColumn>
    <tableColumn id="8" name="OVERALL QUANTITY" dataDxfId="93"/>
    <tableColumn id="5" name="ESTIMATED TOTAL" dataDxfId="92" dataCellStyle="Currency 2"/>
  </tableColumns>
  <tableStyleInfo name="TableStyleLight21" showFirstColumn="0" showLastColumn="0" showRowStripes="1" showColumnStripes="0"/>
  <extLst>
    <ext xmlns:x14="http://schemas.microsoft.com/office/spreadsheetml/2009/9/main" uri="{504A1905-F514-4f6f-8877-14C23A59335A}">
      <x14:table altTextSummary="Waste Disposal and Transportation PCB Expenses"/>
    </ext>
  </extLst>
</table>
</file>

<file path=xl/tables/table4.xml><?xml version="1.0" encoding="utf-8"?>
<table xmlns="http://schemas.openxmlformats.org/spreadsheetml/2006/main" id="7" name="Table7" displayName="Table7" ref="A14:D23" totalsRowShown="0" headerRowDxfId="91" dataDxfId="89" headerRowBorderDxfId="90" tableBorderDxfId="88" totalsRowBorderDxfId="87">
  <autoFilter ref="A14:D23">
    <filterColumn colId="0" hiddenButton="1"/>
    <filterColumn colId="1" hiddenButton="1"/>
    <filterColumn colId="2" hiddenButton="1"/>
    <filterColumn colId="3" hiddenButton="1"/>
  </autoFilter>
  <tableColumns count="4">
    <tableColumn id="1" name="PLAN / REPORT NAME" dataDxfId="86"/>
    <tableColumn id="3" name="SELECT REPORT (YES)" dataDxfId="85"/>
    <tableColumn id="2" name="$ / UNIT" dataDxfId="84" dataCellStyle="Currency 2"/>
    <tableColumn id="5" name="ESTIMATED TOTAL" dataDxfId="83" dataCellStyle="Currency 2">
      <calculatedColumnFormula>SUM(D10:D15)</calculatedColumnFormula>
    </tableColumn>
  </tableColumns>
  <tableStyleInfo name="TableStyleLight17" showFirstColumn="0" showLastColumn="0" showRowStripes="1" showColumnStripes="0"/>
  <extLst>
    <ext xmlns:x14="http://schemas.microsoft.com/office/spreadsheetml/2009/9/main" uri="{504A1905-F514-4f6f-8877-14C23A59335A}">
      <x14:table altTextSummary="Potential Plans and Reports for your PCB Project."/>
    </ext>
  </extLst>
</table>
</file>

<file path=xl/tables/table5.xml><?xml version="1.0" encoding="utf-8"?>
<table xmlns="http://schemas.openxmlformats.org/spreadsheetml/2006/main" id="12" name="Table713" displayName="Table713" ref="A28:D33" totalsRowShown="0" headerRowDxfId="82" dataDxfId="80" headerRowBorderDxfId="81" tableBorderDxfId="79" totalsRowBorderDxfId="78">
  <autoFilter ref="A28:D33">
    <filterColumn colId="0" hiddenButton="1"/>
    <filterColumn colId="1" hiddenButton="1"/>
    <filterColumn colId="2" hiddenButton="1"/>
    <filterColumn colId="3" hiddenButton="1"/>
  </autoFilter>
  <sortState ref="A29:D33">
    <sortCondition ref="A28:A33"/>
  </sortState>
  <tableColumns count="4">
    <tableColumn id="1" name="TASK NAME" dataDxfId="77"/>
    <tableColumn id="2" name="PROJECT SIZE / UNIT #" dataDxfId="76" dataCellStyle="Currency 2"/>
    <tableColumn id="4" name="$ / UNIT" dataDxfId="75" dataCellStyle="Currency 2"/>
    <tableColumn id="5" name="ESTIMATED TOTAL" dataDxfId="74" dataCellStyle="Currency 2">
      <calculatedColumnFormula>VLOOKUP(B29,Table810[[#All],[Select Project Size]:[$                                   -   ]],2,0)</calculatedColumnFormula>
    </tableColumn>
  </tableColumns>
  <tableStyleInfo name="TableStyleLight20" showFirstColumn="0" showLastColumn="0" showRowStripes="1" showColumnStripes="0"/>
  <extLst>
    <ext xmlns:x14="http://schemas.microsoft.com/office/spreadsheetml/2009/9/main" uri="{504A1905-F514-4f6f-8877-14C23A59335A}">
      <x14:table altTextSummary="Best Management Practices for assumed or positive PCB Building Material"/>
    </ext>
  </extLst>
</table>
</file>

<file path=xl/tables/table6.xml><?xml version="1.0" encoding="utf-8"?>
<table xmlns="http://schemas.openxmlformats.org/spreadsheetml/2006/main" id="10" name="Table10" displayName="Table10" ref="A3:B10" totalsRowShown="0" headerRowDxfId="73" dataDxfId="72" tableBorderDxfId="71">
  <autoFilter ref="A3:B10">
    <filterColumn colId="0" hiddenButton="1"/>
    <filterColumn colId="1" hiddenButton="1"/>
  </autoFilter>
  <tableColumns count="2">
    <tableColumn id="1" name="SUMMARY TABLE 1—POTENTIAL PCB PROJECT EXPENSES" dataDxfId="70"/>
    <tableColumn id="2" name="TOTALS" dataDxfId="69"/>
  </tableColumns>
  <tableStyleInfo name="TableStyleLight15" showFirstColumn="0" showLastColumn="0" showRowStripes="1" showColumnStripes="0"/>
  <extLst>
    <ext xmlns:x14="http://schemas.microsoft.com/office/spreadsheetml/2009/9/main" uri="{504A1905-F514-4f6f-8877-14C23A59335A}">
      <x14:table altTextSummary="An auto-populated summary of all the Cost Estimate Tables 2–6."/>
    </ext>
  </extLst>
</table>
</file>

<file path=xl/tables/table7.xml><?xml version="1.0" encoding="utf-8"?>
<table xmlns="http://schemas.openxmlformats.org/spreadsheetml/2006/main" id="3" name="Table3" displayName="Table3" ref="D25:I35" totalsRowShown="0" headerRowDxfId="68" dataDxfId="67">
  <autoFilter ref="D25:I35">
    <filterColumn colId="0" hiddenButton="1"/>
    <filterColumn colId="1" hiddenButton="1"/>
    <filterColumn colId="2" hiddenButton="1"/>
    <filterColumn colId="3" hiddenButton="1"/>
    <filterColumn colId="4" hiddenButton="1"/>
    <filterColumn colId="5" hiddenButton="1"/>
  </autoFilter>
  <tableColumns count="6">
    <tableColumn id="1" name="Select PCB Sample Type" dataDxfId="66"/>
    <tableColumn id="2" name="Measurement Type" dataDxfId="65"/>
    <tableColumn id="3" name=" Select Quantity Range" dataDxfId="64"/>
    <tableColumn id="4" name="# of samples" dataDxfId="63"/>
    <tableColumn id="5" name="Select Quantity Range  " dataDxfId="62"/>
    <tableColumn id="6" name="# of samples2" dataDxfId="61"/>
  </tableColumns>
  <tableStyleInfo name="TableStyleLight1" showFirstColumn="0" showLastColumn="0" showRowStripes="1" showColumnStripes="0"/>
</table>
</file>

<file path=xl/tables/table8.xml><?xml version="1.0" encoding="utf-8"?>
<table xmlns="http://schemas.openxmlformats.org/spreadsheetml/2006/main" id="5" name="Table5" displayName="Table5" ref="D40:N55" totalsRowShown="0">
  <autoFilter ref="D40:N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name="Select PCB Removal Material"/>
    <tableColumn id="1" name="Measurement Type" dataDxfId="60"/>
    <tableColumn id="3" name="Quantity Range" dataDxfId="59"/>
    <tableColumn id="4" name="Column1" dataDxfId="58"/>
    <tableColumn id="5" name="Select SF Quantity Range" dataDxfId="57"/>
    <tableColumn id="6" name="Select LF Quantity Range" dataDxfId="56"/>
    <tableColumn id="7" name="Select Quantity Range"/>
    <tableColumn id="9" name="$                                -   "/>
    <tableColumn id="8" name="Select Project Size" dataDxfId="55"/>
    <tableColumn id="10" name="$                                 -   " dataDxfId="54">
      <calculatedColumnFormula>L59*0.15</calculatedColumnFormula>
    </tableColumn>
    <tableColumn id="11" name="$                                 - " dataDxfId="53">
      <calculatedColumnFormula>M59*0.1</calculatedColumnFormula>
    </tableColumn>
  </tableColumns>
  <tableStyleInfo name="TableStyleLight1" showFirstColumn="0" showLastColumn="0" showRowStripes="1" showColumnStripes="0"/>
</table>
</file>

<file path=xl/tables/table9.xml><?xml version="1.0" encoding="utf-8"?>
<table xmlns="http://schemas.openxmlformats.org/spreadsheetml/2006/main" id="6" name="Table6" displayName="Table6" ref="D59:L67" headerRowCount="0" totalsRowShown="0">
  <tableColumns count="9">
    <tableColumn id="2" name="Select PCB Disposal Material"/>
    <tableColumn id="3" name="Measurement Type" headerRowDxfId="52"/>
    <tableColumn id="1" name="Select Quanity Range" headerRowDxfId="51" dataDxfId="50"/>
    <tableColumn id="4" name="Select Quanity Range2" headerRowDxfId="49"/>
    <tableColumn id="5" name="Select Quanity Range3" headerRowDxfId="48"/>
    <tableColumn id="6" name="Select Quanity Range4"/>
    <tableColumn id="7" name="Select Disposal type"/>
    <tableColumn id="8" name="Average Cost"/>
    <tableColumn id="9" name="Column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s.ecology.wa.gov/publications/SummaryPages/2204036.html" TargetMode="External"/><Relationship Id="rId2" Type="http://schemas.openxmlformats.org/officeDocument/2006/relationships/hyperlink" Target="https://www.epa.gov/pcbs/polychlorinated-biphenyls-pcbs-building-materials" TargetMode="External"/><Relationship Id="rId1" Type="http://schemas.openxmlformats.org/officeDocument/2006/relationships/hyperlink" Target="https://ecology.wa.gov/Regulations-Permits/Guidance-technical-assistance/Dangerous-waste-guidance/Common-dangerous-waste/Construction-and-demolition/PCBs-in-buildings" TargetMode="External"/><Relationship Id="rId5" Type="http://schemas.openxmlformats.org/officeDocument/2006/relationships/printerSettings" Target="../printerSettings/printerSettings1.bin"/><Relationship Id="rId4" Type="http://schemas.openxmlformats.org/officeDocument/2006/relationships/hyperlink" Target="https://apps.ecology.wa.gov/publications/SummaryPages/2204024.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18" Type="http://schemas.openxmlformats.org/officeDocument/2006/relationships/table" Target="../tables/table23.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17" Type="http://schemas.openxmlformats.org/officeDocument/2006/relationships/table" Target="../tables/table22.xml"/><Relationship Id="rId2" Type="http://schemas.openxmlformats.org/officeDocument/2006/relationships/table" Target="../tables/table7.xml"/><Relationship Id="rId16" Type="http://schemas.openxmlformats.org/officeDocument/2006/relationships/table" Target="../tables/table21.xml"/><Relationship Id="rId20" Type="http://schemas.openxmlformats.org/officeDocument/2006/relationships/table" Target="../tables/table25.xml"/><Relationship Id="rId1" Type="http://schemas.openxmlformats.org/officeDocument/2006/relationships/printerSettings" Target="../printerSettings/printerSettings3.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19" Type="http://schemas.openxmlformats.org/officeDocument/2006/relationships/table" Target="../tables/table24.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119" zoomScaleNormal="119" workbookViewId="0">
      <pane xSplit="1" topLeftCell="B1" activePane="topRight" state="frozen"/>
      <selection pane="topRight"/>
    </sheetView>
  </sheetViews>
  <sheetFormatPr defaultColWidth="8.88671875" defaultRowHeight="15.6" x14ac:dyDescent="0.3"/>
  <cols>
    <col min="1" max="1" width="120" style="57" customWidth="1"/>
    <col min="2" max="2" width="8.109375" style="49" customWidth="1"/>
    <col min="3" max="16384" width="8.88671875" style="49"/>
  </cols>
  <sheetData>
    <row r="1" spans="1:1" s="48" customFormat="1" ht="123.75" customHeight="1" x14ac:dyDescent="0.35">
      <c r="A1" s="53" t="s">
        <v>168</v>
      </c>
    </row>
    <row r="2" spans="1:1" s="48" customFormat="1" ht="87" customHeight="1" x14ac:dyDescent="0.35">
      <c r="A2" s="53" t="s">
        <v>169</v>
      </c>
    </row>
    <row r="3" spans="1:1" s="48" customFormat="1" ht="24" customHeight="1" x14ac:dyDescent="0.35">
      <c r="A3" s="54" t="s">
        <v>179</v>
      </c>
    </row>
    <row r="4" spans="1:1" s="48" customFormat="1" ht="24" customHeight="1" x14ac:dyDescent="0.35">
      <c r="A4" s="54" t="s">
        <v>180</v>
      </c>
    </row>
    <row r="5" spans="1:1" s="48" customFormat="1" ht="24" customHeight="1" x14ac:dyDescent="0.35">
      <c r="A5" s="54" t="s">
        <v>170</v>
      </c>
    </row>
    <row r="6" spans="1:1" s="48" customFormat="1" ht="24" customHeight="1" x14ac:dyDescent="0.35">
      <c r="A6" s="54" t="s">
        <v>171</v>
      </c>
    </row>
    <row r="7" spans="1:1" ht="23.4" customHeight="1" x14ac:dyDescent="0.3">
      <c r="A7" s="55" t="s">
        <v>172</v>
      </c>
    </row>
    <row r="8" spans="1:1" ht="23.4" customHeight="1" x14ac:dyDescent="0.3">
      <c r="A8" s="55" t="s">
        <v>173</v>
      </c>
    </row>
    <row r="9" spans="1:1" ht="32.1" customHeight="1" x14ac:dyDescent="0.3">
      <c r="A9" s="56" t="s">
        <v>174</v>
      </c>
    </row>
    <row r="10" spans="1:1" x14ac:dyDescent="0.3">
      <c r="A10" s="57" t="s">
        <v>175</v>
      </c>
    </row>
    <row r="11" spans="1:1" x14ac:dyDescent="0.3">
      <c r="A11" s="57" t="s">
        <v>176</v>
      </c>
    </row>
    <row r="12" spans="1:1" x14ac:dyDescent="0.3">
      <c r="A12" s="57" t="s">
        <v>177</v>
      </c>
    </row>
    <row r="13" spans="1:1" x14ac:dyDescent="0.3">
      <c r="A13" s="57" t="s">
        <v>178</v>
      </c>
    </row>
  </sheetData>
  <sheetProtection algorithmName="SHA-512" hashValue="cT5UJhjvr5VwQzjeBAr2uudPqTPrhhzPpqQSI4l95Iro0fk/u+AyvDNNByE/5CJO4zg88cPJF8vKY/W3CoYZWQ==" saltValue="ybUec2qNUtv/KF4Qn4Lsog==" spinCount="100000" sheet="1" objects="1" scenarios="1"/>
  <hyperlinks>
    <hyperlink ref="A7" r:id="rId1"/>
    <hyperlink ref="A8" r:id="rId2" display="For guidance on interior building materials, please visit EPA's Polychlorinated Biphenyls (PCBs) in Building Materials webpage"/>
    <hyperlink ref="A5" r:id="rId3"/>
    <hyperlink ref="A6" r:id="rId4"/>
    <hyperlink ref="A3" location="'PCB Cost Analysis Worksheet'!A1" display="PCB cost analysis worksheet"/>
    <hyperlink ref="A4" location="Glossary!A1" display="Glossary"/>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92"/>
  <sheetViews>
    <sheetView showGridLines="0" tabSelected="1" showRuler="0" showWhiteSpace="0" view="pageLayout" topLeftCell="A29" zoomScale="70" zoomScaleNormal="80" zoomScaleSheetLayoutView="70" zoomScalePageLayoutView="70" workbookViewId="0">
      <selection activeCell="A57" sqref="A57:E67"/>
    </sheetView>
  </sheetViews>
  <sheetFormatPr defaultColWidth="9.109375" defaultRowHeight="14.4" x14ac:dyDescent="0.3"/>
  <cols>
    <col min="1" max="1" width="57.33203125" style="57" customWidth="1"/>
    <col min="2" max="2" width="29.88671875" style="57" customWidth="1"/>
    <col min="3" max="3" width="40.88671875" style="57" customWidth="1"/>
    <col min="4" max="4" width="29.109375" style="57" customWidth="1"/>
    <col min="5" max="5" width="31.44140625" style="57" customWidth="1"/>
    <col min="6" max="6" width="21" style="57" customWidth="1"/>
    <col min="7" max="7" width="8.44140625" style="57" customWidth="1"/>
    <col min="8" max="8" width="11" style="57" customWidth="1"/>
    <col min="9" max="9" width="11.5546875" style="57" customWidth="1"/>
    <col min="10" max="16384" width="9.109375" style="57"/>
  </cols>
  <sheetData>
    <row r="1" spans="1:10" ht="29.1" customHeight="1" x14ac:dyDescent="0.3">
      <c r="A1" s="50" t="s">
        <v>197</v>
      </c>
      <c r="B1" s="83"/>
      <c r="C1" s="83"/>
      <c r="D1" s="83"/>
      <c r="E1" s="83"/>
      <c r="F1" s="83"/>
      <c r="G1" s="83"/>
      <c r="H1" s="33"/>
      <c r="I1" s="33"/>
      <c r="J1" s="33"/>
    </row>
    <row r="2" spans="1:10" ht="23.1" customHeight="1" thickBot="1" x14ac:dyDescent="0.35">
      <c r="A2" s="84" t="s">
        <v>81</v>
      </c>
      <c r="B2" s="34"/>
      <c r="C2" s="35"/>
      <c r="D2" s="35"/>
      <c r="E2" s="35"/>
      <c r="F2" s="35"/>
      <c r="G2" s="35"/>
      <c r="H2" s="33"/>
      <c r="I2" s="33"/>
      <c r="J2" s="33"/>
    </row>
    <row r="3" spans="1:10" ht="23.1" customHeight="1" x14ac:dyDescent="0.3">
      <c r="A3" s="85" t="s">
        <v>181</v>
      </c>
      <c r="B3" s="86" t="s">
        <v>166</v>
      </c>
      <c r="C3" s="35"/>
      <c r="D3" s="35"/>
      <c r="E3" s="35"/>
      <c r="F3" s="35"/>
      <c r="G3" s="35"/>
      <c r="H3" s="33"/>
      <c r="I3" s="33"/>
      <c r="J3" s="33"/>
    </row>
    <row r="4" spans="1:10" ht="23.1" customHeight="1" x14ac:dyDescent="0.3">
      <c r="A4" s="64" t="s">
        <v>182</v>
      </c>
      <c r="B4" s="65">
        <f>SUM(D24-D16)</f>
        <v>0</v>
      </c>
      <c r="C4" s="35"/>
      <c r="D4" s="35"/>
      <c r="E4" s="35"/>
      <c r="F4" s="35"/>
      <c r="G4" s="35"/>
      <c r="H4" s="33"/>
      <c r="I4" s="33"/>
      <c r="J4" s="33"/>
    </row>
    <row r="5" spans="1:10" ht="23.1" customHeight="1" x14ac:dyDescent="0.3">
      <c r="A5" s="64" t="s">
        <v>183</v>
      </c>
      <c r="B5" s="65">
        <f>D34</f>
        <v>0</v>
      </c>
      <c r="C5" s="33"/>
      <c r="D5" s="33"/>
      <c r="E5" s="33"/>
      <c r="F5" s="37"/>
      <c r="G5" s="37"/>
      <c r="H5" s="33"/>
      <c r="I5" s="33"/>
      <c r="J5" s="33"/>
    </row>
    <row r="6" spans="1:10" ht="23.1" customHeight="1" x14ac:dyDescent="0.3">
      <c r="A6" s="64" t="s">
        <v>184</v>
      </c>
      <c r="B6" s="65">
        <f>D35</f>
        <v>0</v>
      </c>
      <c r="C6" s="33"/>
      <c r="D6" s="33"/>
      <c r="E6" s="33"/>
      <c r="F6" s="33"/>
      <c r="G6" s="33"/>
      <c r="H6" s="33"/>
      <c r="I6" s="33"/>
      <c r="J6" s="33"/>
    </row>
    <row r="7" spans="1:10" ht="23.1" customHeight="1" x14ac:dyDescent="0.3">
      <c r="A7" s="64" t="s">
        <v>185</v>
      </c>
      <c r="B7" s="65">
        <f>E53</f>
        <v>0</v>
      </c>
      <c r="C7" s="36"/>
      <c r="D7" s="36"/>
      <c r="E7" s="36"/>
      <c r="G7" s="87"/>
      <c r="H7" s="33"/>
      <c r="I7" s="33"/>
      <c r="J7" s="33"/>
    </row>
    <row r="8" spans="1:10" ht="23.1" customHeight="1" x14ac:dyDescent="0.3">
      <c r="A8" s="64" t="s">
        <v>186</v>
      </c>
      <c r="B8" s="65">
        <f>E67</f>
        <v>0</v>
      </c>
      <c r="C8" s="36"/>
      <c r="D8" s="88"/>
      <c r="E8" s="87"/>
      <c r="F8" s="33"/>
      <c r="G8" s="33"/>
      <c r="H8" s="33"/>
      <c r="I8" s="33"/>
      <c r="J8" s="33"/>
    </row>
    <row r="9" spans="1:10" ht="23.1" customHeight="1" x14ac:dyDescent="0.3">
      <c r="A9" s="64" t="s">
        <v>187</v>
      </c>
      <c r="B9" s="65">
        <f>D81</f>
        <v>0</v>
      </c>
      <c r="I9" s="33"/>
      <c r="J9" s="33"/>
    </row>
    <row r="10" spans="1:10" ht="23.1" customHeight="1" thickBot="1" x14ac:dyDescent="0.35">
      <c r="A10" s="63" t="s">
        <v>188</v>
      </c>
      <c r="B10" s="89">
        <f>CEILING(SUM(B4:B9), 500)</f>
        <v>0</v>
      </c>
      <c r="C10" s="36"/>
      <c r="D10" s="88"/>
      <c r="E10" s="87"/>
      <c r="F10" s="33"/>
      <c r="G10" s="33"/>
      <c r="H10" s="33"/>
      <c r="I10" s="33"/>
      <c r="J10" s="33"/>
    </row>
    <row r="11" spans="1:10" x14ac:dyDescent="0.3">
      <c r="C11" s="36"/>
      <c r="D11" s="88"/>
      <c r="E11" s="87"/>
      <c r="F11" s="33"/>
      <c r="G11" s="33"/>
      <c r="H11" s="33"/>
      <c r="I11" s="33"/>
      <c r="J11" s="33"/>
    </row>
    <row r="12" spans="1:10" ht="24.6" customHeight="1" x14ac:dyDescent="0.3">
      <c r="A12" s="33" t="s">
        <v>198</v>
      </c>
      <c r="C12" s="36"/>
      <c r="D12" s="88"/>
      <c r="E12" s="87"/>
      <c r="F12" s="33"/>
      <c r="G12" s="33"/>
      <c r="H12" s="33"/>
      <c r="I12" s="33"/>
      <c r="J12" s="33"/>
    </row>
    <row r="13" spans="1:10" x14ac:dyDescent="0.3">
      <c r="A13" s="90" t="s">
        <v>189</v>
      </c>
      <c r="B13" s="91"/>
      <c r="C13" s="91"/>
      <c r="D13" s="91"/>
      <c r="E13" s="92"/>
      <c r="F13" s="93"/>
      <c r="G13" s="33"/>
      <c r="H13" s="33"/>
      <c r="I13" s="92"/>
      <c r="J13" s="33"/>
    </row>
    <row r="14" spans="1:10" x14ac:dyDescent="0.3">
      <c r="A14" s="94" t="s">
        <v>73</v>
      </c>
      <c r="B14" s="94" t="s">
        <v>165</v>
      </c>
      <c r="C14" s="95" t="s">
        <v>0</v>
      </c>
      <c r="D14" s="96" t="s">
        <v>167</v>
      </c>
      <c r="E14" s="93"/>
      <c r="F14" s="33"/>
      <c r="G14" s="33"/>
      <c r="H14" s="33"/>
      <c r="I14" s="33"/>
      <c r="J14" s="33"/>
    </row>
    <row r="15" spans="1:10" x14ac:dyDescent="0.3">
      <c r="A15" s="66" t="s">
        <v>28</v>
      </c>
      <c r="B15" s="67" t="s">
        <v>70</v>
      </c>
      <c r="C15" s="66" t="s">
        <v>118</v>
      </c>
      <c r="D15" s="18" t="str">
        <f>IF(OR(B15="Select Report", B15="Yes"), "$                                         -", Tables!F4)</f>
        <v>$                                         -</v>
      </c>
      <c r="E15" s="93"/>
      <c r="F15" s="33"/>
      <c r="G15" s="33"/>
      <c r="H15" s="33"/>
      <c r="I15" s="33"/>
      <c r="J15" s="33"/>
    </row>
    <row r="16" spans="1:10" x14ac:dyDescent="0.3">
      <c r="A16" s="66" t="s">
        <v>44</v>
      </c>
      <c r="B16" s="52" t="s">
        <v>162</v>
      </c>
      <c r="C16" s="68" t="s">
        <v>74</v>
      </c>
      <c r="D16" s="69">
        <f>E53</f>
        <v>0</v>
      </c>
      <c r="E16" s="93"/>
      <c r="F16" s="33"/>
      <c r="G16" s="33"/>
      <c r="H16" s="33"/>
      <c r="I16" s="33"/>
      <c r="J16" s="33"/>
    </row>
    <row r="17" spans="1:10" x14ac:dyDescent="0.3">
      <c r="A17" s="66" t="s">
        <v>29</v>
      </c>
      <c r="B17" s="67" t="s">
        <v>70</v>
      </c>
      <c r="C17" s="66" t="s">
        <v>118</v>
      </c>
      <c r="D17" s="18" t="str">
        <f>IF(OR(B17="Select Report", B17="Yes"), "$                                         -", Tables!F6)</f>
        <v>$                                         -</v>
      </c>
      <c r="E17" s="93"/>
      <c r="F17" s="33"/>
      <c r="G17" s="33"/>
      <c r="H17" s="33"/>
      <c r="I17" s="33"/>
      <c r="J17" s="33"/>
    </row>
    <row r="18" spans="1:10" x14ac:dyDescent="0.3">
      <c r="A18" s="66" t="s">
        <v>30</v>
      </c>
      <c r="B18" s="67" t="s">
        <v>70</v>
      </c>
      <c r="C18" s="66" t="s">
        <v>118</v>
      </c>
      <c r="D18" s="18" t="str">
        <f>IF(OR(B18="Select Report", B18="Yes"), "$                                         -", Tables!F7)</f>
        <v>$                                         -</v>
      </c>
      <c r="E18" s="93"/>
      <c r="F18" s="33"/>
      <c r="G18" s="33"/>
      <c r="H18" s="33"/>
      <c r="I18" s="33"/>
      <c r="J18" s="33"/>
    </row>
    <row r="19" spans="1:10" x14ac:dyDescent="0.3">
      <c r="A19" s="66" t="s">
        <v>57</v>
      </c>
      <c r="B19" s="67" t="s">
        <v>70</v>
      </c>
      <c r="C19" s="66" t="s">
        <v>118</v>
      </c>
      <c r="D19" s="18" t="str">
        <f>IF(OR(B19="Select Report", B19="Yes"), "$                                         -", Tables!F8)</f>
        <v>$                                         -</v>
      </c>
      <c r="E19" s="93"/>
      <c r="F19" s="33"/>
      <c r="G19" s="33"/>
      <c r="H19" s="33"/>
      <c r="I19" s="33"/>
      <c r="J19" s="33"/>
    </row>
    <row r="20" spans="1:10" x14ac:dyDescent="0.3">
      <c r="A20" s="52" t="s">
        <v>38</v>
      </c>
      <c r="B20" s="67" t="s">
        <v>70</v>
      </c>
      <c r="C20" s="66" t="s">
        <v>118</v>
      </c>
      <c r="D20" s="18" t="str">
        <f>IF(OR(B20="Select Report", B20="Yes"), "$                                         -", Tables!F9)</f>
        <v>$                                         -</v>
      </c>
      <c r="E20" s="93"/>
      <c r="F20" s="33"/>
      <c r="G20" s="33"/>
      <c r="H20" s="33"/>
      <c r="I20" s="33"/>
      <c r="J20" s="33"/>
    </row>
    <row r="21" spans="1:10" x14ac:dyDescent="0.3">
      <c r="A21" s="66" t="s">
        <v>31</v>
      </c>
      <c r="B21" s="67" t="s">
        <v>70</v>
      </c>
      <c r="C21" s="66" t="s">
        <v>118</v>
      </c>
      <c r="D21" s="18" t="str">
        <f>IF(OR(B21="Select Report", B21="Yes"), "$                                         -", Tables!F10)</f>
        <v>$                                         -</v>
      </c>
      <c r="E21" s="93"/>
      <c r="F21" s="33"/>
      <c r="G21" s="33"/>
      <c r="H21" s="33"/>
      <c r="I21" s="33"/>
      <c r="J21" s="33"/>
    </row>
    <row r="22" spans="1:10" x14ac:dyDescent="0.3">
      <c r="A22" s="52" t="s">
        <v>32</v>
      </c>
      <c r="B22" s="67" t="s">
        <v>70</v>
      </c>
      <c r="C22" s="66" t="s">
        <v>118</v>
      </c>
      <c r="D22" s="18" t="str">
        <f>IF(OR(B22="Select Report", B22="Yes"), "$                                         -", Tables!F11)</f>
        <v>$                                         -</v>
      </c>
      <c r="E22" s="93"/>
      <c r="F22" s="33"/>
      <c r="G22" s="33"/>
      <c r="H22" s="33"/>
      <c r="I22" s="33"/>
      <c r="J22" s="33"/>
    </row>
    <row r="23" spans="1:10" x14ac:dyDescent="0.3">
      <c r="A23" s="52" t="s">
        <v>33</v>
      </c>
      <c r="B23" s="67" t="s">
        <v>70</v>
      </c>
      <c r="C23" s="66" t="s">
        <v>118</v>
      </c>
      <c r="D23" s="18" t="str">
        <f>IF(OR(B23="Select Report", B23="Yes"), "$                                         -", Tables!F12)</f>
        <v>$                                         -</v>
      </c>
      <c r="E23" s="33"/>
      <c r="F23" s="33"/>
      <c r="G23" s="33"/>
      <c r="H23" s="33"/>
      <c r="I23" s="33"/>
      <c r="J23" s="33"/>
    </row>
    <row r="24" spans="1:10" x14ac:dyDescent="0.3">
      <c r="A24" s="93"/>
      <c r="B24" s="97"/>
      <c r="C24" s="19" t="s">
        <v>112</v>
      </c>
      <c r="D24" s="98">
        <f>CEILING(SUM(D15:D23), 500)</f>
        <v>0</v>
      </c>
      <c r="E24" s="33"/>
      <c r="F24" s="33"/>
      <c r="G24" s="33"/>
      <c r="H24" s="33"/>
      <c r="I24" s="33"/>
      <c r="J24" s="33"/>
    </row>
    <row r="25" spans="1:10" x14ac:dyDescent="0.3">
      <c r="A25" s="93"/>
      <c r="B25" s="93"/>
      <c r="C25" s="99"/>
      <c r="D25" s="16"/>
      <c r="E25" s="33"/>
      <c r="F25" s="33"/>
      <c r="G25" s="33"/>
      <c r="H25" s="33"/>
      <c r="I25" s="33"/>
      <c r="J25" s="33"/>
    </row>
    <row r="26" spans="1:10" ht="29.1" customHeight="1" x14ac:dyDescent="0.3">
      <c r="A26" s="33" t="s">
        <v>199</v>
      </c>
      <c r="B26" s="36"/>
      <c r="C26" s="100"/>
      <c r="D26" s="100"/>
      <c r="E26" s="16"/>
      <c r="F26" s="93"/>
      <c r="G26" s="6"/>
      <c r="H26" s="33"/>
      <c r="I26" s="33"/>
      <c r="J26" s="33"/>
    </row>
    <row r="27" spans="1:10" x14ac:dyDescent="0.3">
      <c r="A27" s="101" t="s">
        <v>190</v>
      </c>
      <c r="B27" s="102"/>
      <c r="C27" s="103"/>
      <c r="D27" s="103"/>
      <c r="E27" s="16"/>
      <c r="F27" s="93"/>
      <c r="G27" s="6"/>
      <c r="H27" s="33"/>
      <c r="I27" s="33"/>
      <c r="J27" s="33"/>
    </row>
    <row r="28" spans="1:10" x14ac:dyDescent="0.3">
      <c r="A28" s="104" t="s">
        <v>1</v>
      </c>
      <c r="B28" s="105" t="s">
        <v>163</v>
      </c>
      <c r="C28" s="105" t="s">
        <v>0</v>
      </c>
      <c r="D28" s="106" t="s">
        <v>167</v>
      </c>
      <c r="E28" s="16"/>
      <c r="F28" s="93"/>
      <c r="G28" s="6"/>
      <c r="H28" s="33"/>
      <c r="I28" s="33"/>
      <c r="J28" s="33"/>
    </row>
    <row r="29" spans="1:10" x14ac:dyDescent="0.3">
      <c r="A29" s="66" t="s">
        <v>35</v>
      </c>
      <c r="B29" s="107"/>
      <c r="C29" s="66" t="s">
        <v>118</v>
      </c>
      <c r="D29" s="6">
        <f>Table713[[#This Row],[PROJECT SIZE / UNIT '#]]*250</f>
        <v>0</v>
      </c>
      <c r="E29" s="16"/>
      <c r="F29" s="93"/>
      <c r="G29" s="6"/>
      <c r="H29" s="33"/>
      <c r="I29" s="33"/>
      <c r="J29" s="33"/>
    </row>
    <row r="30" spans="1:10" x14ac:dyDescent="0.3">
      <c r="A30" s="52" t="s">
        <v>191</v>
      </c>
      <c r="B30" s="70" t="s">
        <v>60</v>
      </c>
      <c r="C30" s="66" t="s">
        <v>118</v>
      </c>
      <c r="D30" s="18" t="str">
        <f>VLOOKUP(Table713[[#This Row],[PROJECT SIZE / UNIT '#]],Table15[#All],2,FALSE)</f>
        <v xml:space="preserve">$                                     -   </v>
      </c>
      <c r="E30" s="16"/>
      <c r="F30" s="93"/>
      <c r="G30" s="6"/>
      <c r="H30" s="33"/>
      <c r="I30" s="33"/>
      <c r="J30" s="33"/>
    </row>
    <row r="31" spans="1:10" x14ac:dyDescent="0.3">
      <c r="A31" s="66" t="s">
        <v>119</v>
      </c>
      <c r="B31" s="70" t="s">
        <v>60</v>
      </c>
      <c r="C31" s="66" t="s">
        <v>118</v>
      </c>
      <c r="D31" s="18" t="str">
        <f>VLOOKUP(Table713[[#This Row],[PROJECT SIZE / UNIT '#]],Table16[],2,FALSE)</f>
        <v xml:space="preserve">$                                     -   </v>
      </c>
      <c r="E31" s="16"/>
      <c r="F31" s="93"/>
      <c r="G31" s="6"/>
      <c r="H31" s="33"/>
      <c r="I31" s="33"/>
      <c r="J31" s="33"/>
    </row>
    <row r="32" spans="1:10" x14ac:dyDescent="0.3">
      <c r="A32" s="66" t="s">
        <v>58</v>
      </c>
      <c r="B32" s="70" t="s">
        <v>60</v>
      </c>
      <c r="C32" s="66" t="s">
        <v>118</v>
      </c>
      <c r="D32" s="6" t="str">
        <f>VLOOKUP(Table713[[#This Row],[PROJECT SIZE / UNIT '#]],Table17[],2,FALSE)</f>
        <v xml:space="preserve">$                                     -   </v>
      </c>
      <c r="E32" s="16"/>
      <c r="F32" s="93"/>
      <c r="G32" s="6"/>
      <c r="H32" s="33"/>
      <c r="I32" s="33"/>
      <c r="J32" s="33"/>
    </row>
    <row r="33" spans="1:10" x14ac:dyDescent="0.3">
      <c r="A33" s="66" t="s">
        <v>79</v>
      </c>
      <c r="B33" s="70" t="s">
        <v>60</v>
      </c>
      <c r="C33" s="66" t="s">
        <v>118</v>
      </c>
      <c r="D33" s="6" t="str">
        <f>VLOOKUP(Table713[[#This Row],[PROJECT SIZE / UNIT '#]],Table18[],2,FALSE)</f>
        <v xml:space="preserve">$                                     -   </v>
      </c>
      <c r="E33" s="16"/>
      <c r="F33" s="93"/>
      <c r="G33" s="6"/>
      <c r="H33" s="33"/>
      <c r="I33" s="33"/>
      <c r="J33" s="33"/>
    </row>
    <row r="34" spans="1:10" x14ac:dyDescent="0.3">
      <c r="A34" s="36"/>
      <c r="B34" s="100"/>
      <c r="C34" s="51" t="s">
        <v>77</v>
      </c>
      <c r="D34" s="108">
        <f>CEILING(SUM(D29:D33), 500)</f>
        <v>0</v>
      </c>
      <c r="E34" s="16"/>
      <c r="F34" s="93"/>
      <c r="G34" s="6"/>
      <c r="H34" s="33"/>
      <c r="I34" s="33"/>
      <c r="J34" s="33"/>
    </row>
    <row r="35" spans="1:10" x14ac:dyDescent="0.3">
      <c r="A35" s="52"/>
      <c r="B35" s="109"/>
      <c r="C35" s="51" t="s">
        <v>203</v>
      </c>
      <c r="D35" s="108">
        <f>SUM(D34*25%)</f>
        <v>0</v>
      </c>
      <c r="E35" s="33"/>
      <c r="F35" s="33"/>
      <c r="G35" s="33"/>
      <c r="H35" s="33"/>
      <c r="I35" s="33"/>
      <c r="J35" s="33"/>
    </row>
    <row r="36" spans="1:10" x14ac:dyDescent="0.3">
      <c r="A36" s="33"/>
      <c r="B36" s="38"/>
      <c r="C36" s="38"/>
      <c r="D36" s="100"/>
      <c r="E36" s="16"/>
      <c r="F36" s="93"/>
      <c r="G36" s="6"/>
      <c r="H36" s="33"/>
      <c r="I36" s="33"/>
      <c r="J36" s="33"/>
    </row>
    <row r="37" spans="1:10" ht="30.9" customHeight="1" x14ac:dyDescent="0.3">
      <c r="A37" s="33" t="s">
        <v>201</v>
      </c>
      <c r="B37" s="38"/>
      <c r="C37" s="38"/>
      <c r="D37" s="100"/>
      <c r="E37" s="16"/>
      <c r="F37" s="93"/>
      <c r="G37" s="6"/>
      <c r="H37" s="33"/>
      <c r="I37" s="33"/>
      <c r="J37" s="33"/>
    </row>
    <row r="38" spans="1:10" ht="15" thickBot="1" x14ac:dyDescent="0.35">
      <c r="A38" s="110" t="s">
        <v>192</v>
      </c>
      <c r="B38" s="111"/>
      <c r="C38" s="112"/>
      <c r="D38" s="112"/>
      <c r="E38" s="112"/>
      <c r="F38" s="113"/>
      <c r="G38" s="33"/>
      <c r="H38" s="33"/>
      <c r="I38" s="33"/>
      <c r="J38" s="33"/>
    </row>
    <row r="39" spans="1:10" x14ac:dyDescent="0.3">
      <c r="A39" s="114" t="s">
        <v>126</v>
      </c>
      <c r="B39" s="115" t="s">
        <v>51</v>
      </c>
      <c r="C39" s="115" t="s">
        <v>65</v>
      </c>
      <c r="D39" s="116" t="s">
        <v>111</v>
      </c>
      <c r="E39" s="117" t="s">
        <v>167</v>
      </c>
      <c r="F39" s="33"/>
      <c r="G39" s="33"/>
      <c r="H39" s="33"/>
    </row>
    <row r="40" spans="1:10" x14ac:dyDescent="0.3">
      <c r="A40" s="78" t="s">
        <v>13</v>
      </c>
      <c r="B40" s="6" t="str">
        <f>VLOOKUP(A40,Tables!A:B,2,FALSE)</f>
        <v>Square Feet</v>
      </c>
      <c r="C40" s="79" t="s">
        <v>159</v>
      </c>
      <c r="D40" s="7">
        <f>IFERROR(VLOOKUP(Table1[[#This Row],[ QUANTITY RANGE]],Table3[[ Select Quantity Range]:['# of samples]],2,0),0)</f>
        <v>0</v>
      </c>
      <c r="E40" s="6">
        <f>D40*300</f>
        <v>0</v>
      </c>
      <c r="F40" s="33"/>
      <c r="G40" s="33"/>
      <c r="H40" s="33"/>
    </row>
    <row r="41" spans="1:10" x14ac:dyDescent="0.3">
      <c r="A41" s="78" t="s">
        <v>62</v>
      </c>
      <c r="B41" s="6" t="str">
        <f>VLOOKUP(A41,Tables!A:B,2,FALSE)</f>
        <v>Measurement Type</v>
      </c>
      <c r="C41" s="79" t="s">
        <v>159</v>
      </c>
      <c r="D41" s="7">
        <f>IFERROR(VLOOKUP(Table1[[#This Row],[ QUANTITY RANGE]],Table3[[ Select Quantity Range]:['# of samples]],2,0),0)</f>
        <v>0</v>
      </c>
      <c r="E41" s="6">
        <f t="shared" ref="E41:E49" si="0">D41*300</f>
        <v>0</v>
      </c>
      <c r="F41" s="33"/>
      <c r="G41" s="33"/>
      <c r="H41" s="33"/>
    </row>
    <row r="42" spans="1:10" x14ac:dyDescent="0.3">
      <c r="A42" s="78" t="s">
        <v>62</v>
      </c>
      <c r="B42" s="6" t="str">
        <f>VLOOKUP(A42,Tables!A:B,2,FALSE)</f>
        <v>Measurement Type</v>
      </c>
      <c r="C42" s="79" t="s">
        <v>75</v>
      </c>
      <c r="D42" s="7">
        <f>IFERROR(VLOOKUP(Table1[[#This Row],[ QUANTITY RANGE]],Table3[[ Select Quantity Range]:['# of samples]],2,0),0)</f>
        <v>0</v>
      </c>
      <c r="E42" s="6">
        <f t="shared" si="0"/>
        <v>0</v>
      </c>
      <c r="F42" s="33"/>
      <c r="G42" s="33"/>
      <c r="H42" s="33"/>
    </row>
    <row r="43" spans="1:10" x14ac:dyDescent="0.3">
      <c r="A43" s="78" t="s">
        <v>62</v>
      </c>
      <c r="B43" s="6" t="str">
        <f>VLOOKUP(A43,Tables!A:B,2,FALSE)</f>
        <v>Measurement Type</v>
      </c>
      <c r="C43" s="79" t="s">
        <v>75</v>
      </c>
      <c r="D43" s="7">
        <f>IFERROR(VLOOKUP(Table1[[#This Row],[ QUANTITY RANGE]],Table3[[ Select Quantity Range]:['# of samples]],2,0),0)</f>
        <v>0</v>
      </c>
      <c r="E43" s="6">
        <f t="shared" si="0"/>
        <v>0</v>
      </c>
      <c r="F43" s="33"/>
      <c r="G43" s="33"/>
      <c r="H43" s="33"/>
    </row>
    <row r="44" spans="1:10" x14ac:dyDescent="0.3">
      <c r="A44" s="78" t="s">
        <v>62</v>
      </c>
      <c r="B44" s="6" t="str">
        <f>VLOOKUP(A44,Tables!A:B,2,FALSE)</f>
        <v>Measurement Type</v>
      </c>
      <c r="C44" s="79" t="s">
        <v>75</v>
      </c>
      <c r="D44" s="7">
        <f>IFERROR(VLOOKUP(Table1[[#This Row],[ QUANTITY RANGE]],Table3[[ Select Quantity Range]:['# of samples]],2,0),0)</f>
        <v>0</v>
      </c>
      <c r="E44" s="6">
        <f t="shared" si="0"/>
        <v>0</v>
      </c>
      <c r="F44" s="33"/>
      <c r="G44" s="33"/>
      <c r="H44" s="33"/>
    </row>
    <row r="45" spans="1:10" x14ac:dyDescent="0.3">
      <c r="A45" s="78" t="s">
        <v>62</v>
      </c>
      <c r="B45" s="6" t="str">
        <f>VLOOKUP(A45,Tables!A:B,2,FALSE)</f>
        <v>Measurement Type</v>
      </c>
      <c r="C45" s="79" t="s">
        <v>75</v>
      </c>
      <c r="D45" s="7">
        <f>IFERROR(VLOOKUP(Table1[[#This Row],[ QUANTITY RANGE]],Table3[[ Select Quantity Range]:['# of samples]],2,0),0)</f>
        <v>0</v>
      </c>
      <c r="E45" s="6">
        <f t="shared" si="0"/>
        <v>0</v>
      </c>
      <c r="F45" s="33"/>
      <c r="G45" s="33"/>
      <c r="H45" s="33"/>
    </row>
    <row r="46" spans="1:10" x14ac:dyDescent="0.3">
      <c r="A46" s="78" t="s">
        <v>62</v>
      </c>
      <c r="B46" s="6" t="str">
        <f>VLOOKUP(A46,Tables!A:B,2,FALSE)</f>
        <v>Measurement Type</v>
      </c>
      <c r="C46" s="79" t="s">
        <v>75</v>
      </c>
      <c r="D46" s="7">
        <f>IFERROR(VLOOKUP(Table1[[#This Row],[ QUANTITY RANGE]],Table3[[ Select Quantity Range]:['# of samples]],2,0),0)</f>
        <v>0</v>
      </c>
      <c r="E46" s="6">
        <f t="shared" si="0"/>
        <v>0</v>
      </c>
      <c r="F46" s="33"/>
      <c r="G46" s="33"/>
      <c r="H46" s="33"/>
    </row>
    <row r="47" spans="1:10" x14ac:dyDescent="0.3">
      <c r="A47" s="78" t="s">
        <v>62</v>
      </c>
      <c r="B47" s="6" t="str">
        <f>VLOOKUP(A47,Tables!A:B,2,FALSE)</f>
        <v>Measurement Type</v>
      </c>
      <c r="C47" s="79" t="s">
        <v>75</v>
      </c>
      <c r="D47" s="7">
        <f>IFERROR(VLOOKUP(Table1[[#This Row],[ QUANTITY RANGE]],Table3[[ Select Quantity Range]:['# of samples]],2,0),0)</f>
        <v>0</v>
      </c>
      <c r="E47" s="6">
        <f t="shared" si="0"/>
        <v>0</v>
      </c>
      <c r="F47" s="33"/>
      <c r="G47" s="33"/>
      <c r="H47" s="33"/>
    </row>
    <row r="48" spans="1:10" x14ac:dyDescent="0.3">
      <c r="A48" s="78" t="s">
        <v>62</v>
      </c>
      <c r="B48" s="6" t="str">
        <f>VLOOKUP(A48,Tables!A:B,2,FALSE)</f>
        <v>Measurement Type</v>
      </c>
      <c r="C48" s="79" t="s">
        <v>75</v>
      </c>
      <c r="D48" s="7">
        <f>IFERROR(VLOOKUP(Table1[[#This Row],[ QUANTITY RANGE]],Table3[[ Select Quantity Range]:['# of samples]],2,0),0)</f>
        <v>0</v>
      </c>
      <c r="E48" s="6">
        <f t="shared" si="0"/>
        <v>0</v>
      </c>
      <c r="F48" s="33"/>
      <c r="G48" s="33"/>
      <c r="H48" s="33"/>
    </row>
    <row r="49" spans="1:10" x14ac:dyDescent="0.3">
      <c r="A49" s="78" t="s">
        <v>62</v>
      </c>
      <c r="B49" s="6" t="str">
        <f>VLOOKUP(A49,Tables!A:B,2,FALSE)</f>
        <v>Measurement Type</v>
      </c>
      <c r="C49" s="79" t="s">
        <v>75</v>
      </c>
      <c r="D49" s="7">
        <f>IFERROR(VLOOKUP(Table1[[#This Row],[ QUANTITY RANGE]],Table3[[ Select Quantity Range]:['# of samples]],2,0),0)</f>
        <v>0</v>
      </c>
      <c r="E49" s="6">
        <f t="shared" si="0"/>
        <v>0</v>
      </c>
      <c r="F49" s="33"/>
      <c r="G49" s="33"/>
      <c r="H49" s="33"/>
    </row>
    <row r="50" spans="1:10" x14ac:dyDescent="0.3">
      <c r="A50" s="64" t="s">
        <v>141</v>
      </c>
      <c r="B50" s="6" t="s">
        <v>45</v>
      </c>
      <c r="C50" s="79" t="s">
        <v>75</v>
      </c>
      <c r="D50" s="7" t="s">
        <v>150</v>
      </c>
      <c r="E50" s="6" t="str">
        <f>VLOOKUP(Table1[[#This Row],[ QUANTITY RANGE]],Table26[#All],2,FALSE)</f>
        <v xml:space="preserve">$                                  -   </v>
      </c>
      <c r="F50" s="33"/>
      <c r="G50" s="33"/>
      <c r="H50" s="33"/>
    </row>
    <row r="51" spans="1:10" x14ac:dyDescent="0.3">
      <c r="A51" s="64"/>
      <c r="B51" s="6"/>
      <c r="C51" s="6"/>
      <c r="D51" s="80" t="s">
        <v>205</v>
      </c>
      <c r="E51" s="118">
        <f>SUM(E40:E50)</f>
        <v>0</v>
      </c>
      <c r="F51" s="33"/>
      <c r="G51" s="33"/>
      <c r="H51" s="33"/>
    </row>
    <row r="52" spans="1:10" x14ac:dyDescent="0.3">
      <c r="A52" s="6" t="s">
        <v>80</v>
      </c>
      <c r="B52" s="81"/>
      <c r="C52" s="82" t="s">
        <v>158</v>
      </c>
      <c r="D52" s="7"/>
      <c r="E52" s="32" t="str">
        <f>VLOOKUP(Table1[[#This Row],[ QUANTITY RANGE]],Tables!J25:K29,2,FALSE)</f>
        <v xml:space="preserve">$                                 -   </v>
      </c>
      <c r="F52" s="33"/>
      <c r="G52" s="33"/>
      <c r="H52" s="33"/>
    </row>
    <row r="53" spans="1:10" x14ac:dyDescent="0.3">
      <c r="A53" s="6"/>
      <c r="B53" s="14"/>
      <c r="C53" s="27"/>
      <c r="D53" s="39" t="s">
        <v>148</v>
      </c>
      <c r="E53" s="119">
        <f>CEILING(SUM(E51:E52), 500)</f>
        <v>0</v>
      </c>
      <c r="F53" s="33"/>
      <c r="G53" s="33"/>
      <c r="H53" s="33"/>
    </row>
    <row r="54" spans="1:10" x14ac:dyDescent="0.3">
      <c r="A54" s="6"/>
      <c r="B54" s="6"/>
      <c r="G54" s="16"/>
      <c r="H54" s="33"/>
      <c r="I54" s="33"/>
      <c r="J54" s="33"/>
    </row>
    <row r="55" spans="1:10" ht="26.4" customHeight="1" x14ac:dyDescent="0.3">
      <c r="A55" s="33" t="s">
        <v>200</v>
      </c>
      <c r="B55" s="6"/>
      <c r="C55" s="6"/>
      <c r="D55" s="120"/>
      <c r="E55" s="93"/>
      <c r="F55" s="16"/>
      <c r="G55" s="16"/>
      <c r="H55" s="33"/>
      <c r="I55" s="33"/>
      <c r="J55" s="33"/>
    </row>
    <row r="56" spans="1:10" ht="15" thickBot="1" x14ac:dyDescent="0.35">
      <c r="A56" s="121" t="s">
        <v>193</v>
      </c>
      <c r="B56" s="122"/>
      <c r="C56" s="123"/>
      <c r="D56" s="123"/>
      <c r="E56" s="123"/>
      <c r="F56" s="6"/>
      <c r="G56" s="6"/>
      <c r="H56" s="33"/>
      <c r="I56" s="33"/>
      <c r="J56" s="33"/>
    </row>
    <row r="57" spans="1:10" x14ac:dyDescent="0.3">
      <c r="A57" s="124" t="s">
        <v>72</v>
      </c>
      <c r="B57" s="125" t="s">
        <v>51</v>
      </c>
      <c r="C57" s="125" t="s">
        <v>50</v>
      </c>
      <c r="D57" s="126" t="s">
        <v>160</v>
      </c>
      <c r="E57" s="125" t="s">
        <v>167</v>
      </c>
      <c r="F57" s="6"/>
      <c r="G57" s="33"/>
      <c r="H57" s="33"/>
      <c r="I57" s="33"/>
    </row>
    <row r="58" spans="1:10" x14ac:dyDescent="0.3">
      <c r="A58" s="66" t="s">
        <v>125</v>
      </c>
      <c r="B58" s="44" t="str">
        <f>VLOOKUP(A58,Tables!A:B,2,FALSE)</f>
        <v>Linear Feet</v>
      </c>
      <c r="C58" s="67" t="s">
        <v>75</v>
      </c>
      <c r="D58" s="71">
        <f>VLOOKUP(Table2[[#This Row],[OVERALL QUANTITY]],Table13[#All],3,FALSE)</f>
        <v>0</v>
      </c>
      <c r="E58" s="45" t="str">
        <f>VLOOKUP(Table2[[#This Row],[OVERALL QUANTITY]],Table13[#All],2,FALSE)</f>
        <v xml:space="preserve">$                                    -   </v>
      </c>
      <c r="F58" s="44"/>
      <c r="G58" s="33"/>
      <c r="H58" s="33"/>
      <c r="I58" s="33"/>
    </row>
    <row r="59" spans="1:10" x14ac:dyDescent="0.3">
      <c r="A59" s="66" t="s">
        <v>10</v>
      </c>
      <c r="B59" s="44" t="str">
        <f>VLOOKUP(A59,Tables!A:B,2,FALSE)</f>
        <v>Linear Feet</v>
      </c>
      <c r="C59" s="67" t="s">
        <v>75</v>
      </c>
      <c r="D59" s="71">
        <f>VLOOKUP(Table2[[#This Row],[OVERALL QUANTITY]],Table1320[#All],3,FALSE)</f>
        <v>0</v>
      </c>
      <c r="E59" s="45" t="str">
        <f>VLOOKUP(Table2[[#This Row],[OVERALL QUANTITY]],Table1320[#All],2,FALSE)</f>
        <v xml:space="preserve">$                                    -   </v>
      </c>
      <c r="F59" s="44"/>
      <c r="G59" s="33"/>
      <c r="H59" s="33"/>
      <c r="I59" s="33"/>
    </row>
    <row r="60" spans="1:10" x14ac:dyDescent="0.3">
      <c r="A60" s="66" t="s">
        <v>13</v>
      </c>
      <c r="B60" s="44" t="str">
        <f>VLOOKUP(A60,Tables!A:B,2,FALSE)</f>
        <v>Square Feet</v>
      </c>
      <c r="C60" s="67" t="s">
        <v>75</v>
      </c>
      <c r="D60" s="71">
        <f>VLOOKUP(Table2[[#This Row],[OVERALL QUANTITY]],Table132021[#All],3,FALSE)</f>
        <v>0</v>
      </c>
      <c r="E60" s="45" t="str">
        <f>VLOOKUP(Table2[[#This Row],[OVERALL QUANTITY]],Table132021[#All],2,FALSE)</f>
        <v xml:space="preserve">$                                    -   </v>
      </c>
      <c r="F60" s="44"/>
      <c r="G60" s="33"/>
      <c r="H60" s="33"/>
      <c r="I60" s="33"/>
    </row>
    <row r="61" spans="1:10" x14ac:dyDescent="0.3">
      <c r="A61" s="66" t="s">
        <v>11</v>
      </c>
      <c r="B61" s="44" t="str">
        <f>VLOOKUP(A61,Tables!A:B,2,FALSE)</f>
        <v>Square Feet</v>
      </c>
      <c r="C61" s="67" t="s">
        <v>75</v>
      </c>
      <c r="D61" s="71">
        <f>VLOOKUP(Table2[[#This Row],[OVERALL QUANTITY]],Table13202122[#All],3,FALSE)</f>
        <v>0</v>
      </c>
      <c r="E61" s="45" t="str">
        <f>VLOOKUP(Table2[[#This Row],[OVERALL QUANTITY]],Table13202122[#All],2,FALSE)</f>
        <v xml:space="preserve">$                                    -   </v>
      </c>
      <c r="F61" s="44"/>
      <c r="G61" s="33"/>
      <c r="H61" s="33"/>
      <c r="I61" s="33"/>
    </row>
    <row r="62" spans="1:10" x14ac:dyDescent="0.3">
      <c r="A62" s="66" t="s">
        <v>137</v>
      </c>
      <c r="B62" s="44" t="str">
        <f>VLOOKUP(A62,Tables!A:B,2,FALSE)</f>
        <v>Square Feet</v>
      </c>
      <c r="C62" s="67" t="s">
        <v>75</v>
      </c>
      <c r="D62" s="71">
        <f>VLOOKUP(Table2[[#This Row],[OVERALL QUANTITY]],Table1320212223[#All],3,FALSE)</f>
        <v>0</v>
      </c>
      <c r="E62" s="45" t="str">
        <f>VLOOKUP(Table2[[#This Row],[OVERALL QUANTITY]],Table1320212223[#All],2,FALSE)</f>
        <v xml:space="preserve">$                                    -   </v>
      </c>
      <c r="F62" s="44"/>
      <c r="G62" s="33"/>
      <c r="H62" s="33"/>
      <c r="I62" s="33"/>
    </row>
    <row r="63" spans="1:10" x14ac:dyDescent="0.3">
      <c r="A63" s="66" t="s">
        <v>12</v>
      </c>
      <c r="B63" s="44" t="str">
        <f>VLOOKUP(A63,Tables!A:B,2,FALSE)</f>
        <v>Each</v>
      </c>
      <c r="C63" s="67" t="s">
        <v>75</v>
      </c>
      <c r="D63" s="71">
        <f>VLOOKUP(Table2[[#This Row],[OVERALL QUANTITY]],Table132021222324[#All],3,FALSE)</f>
        <v>0</v>
      </c>
      <c r="E63" s="45" t="str">
        <f>VLOOKUP(Table2[[#This Row],[OVERALL QUANTITY]],Table132021222324[#All],2,FALSE)</f>
        <v xml:space="preserve">$                                    -   </v>
      </c>
      <c r="F63" s="44"/>
      <c r="G63" s="33"/>
      <c r="H63" s="33"/>
      <c r="I63" s="33"/>
    </row>
    <row r="64" spans="1:10" x14ac:dyDescent="0.3">
      <c r="A64" s="66"/>
      <c r="B64" s="72"/>
      <c r="C64" s="72"/>
      <c r="D64" s="72"/>
      <c r="E64" s="44"/>
      <c r="F64" s="44"/>
      <c r="G64" s="33"/>
      <c r="H64" s="33"/>
      <c r="I64" s="33"/>
    </row>
    <row r="65" spans="1:10" x14ac:dyDescent="0.3">
      <c r="A65" s="66" t="s">
        <v>194</v>
      </c>
      <c r="B65" s="127"/>
      <c r="C65" s="127"/>
      <c r="D65" s="127"/>
      <c r="E65" s="73">
        <f>SUM(E58:E63)*0.2</f>
        <v>0</v>
      </c>
      <c r="F65" s="128"/>
      <c r="G65" s="33"/>
      <c r="H65" s="33"/>
      <c r="I65" s="33"/>
    </row>
    <row r="66" spans="1:10" x14ac:dyDescent="0.3">
      <c r="A66" s="66" t="s">
        <v>161</v>
      </c>
      <c r="B66" s="127"/>
      <c r="C66" s="127"/>
      <c r="D66" s="127"/>
      <c r="E66" s="73">
        <f>SUM(E58:E63)*0.1</f>
        <v>0</v>
      </c>
      <c r="F66" s="33"/>
      <c r="G66" s="33"/>
      <c r="H66" s="33"/>
      <c r="I66" s="33"/>
    </row>
    <row r="67" spans="1:10" x14ac:dyDescent="0.3">
      <c r="A67" s="40"/>
      <c r="B67" s="40"/>
      <c r="C67" s="139"/>
      <c r="D67" s="41" t="s">
        <v>206</v>
      </c>
      <c r="E67" s="129">
        <f>CEILING(SUM(E58:E66), 500)</f>
        <v>0</v>
      </c>
      <c r="G67" s="33"/>
      <c r="H67" s="33"/>
      <c r="I67" s="33"/>
      <c r="J67" s="33"/>
    </row>
    <row r="68" spans="1:10" x14ac:dyDescent="0.3">
      <c r="A68" s="33"/>
      <c r="B68" s="33"/>
      <c r="C68" s="43"/>
      <c r="D68" s="33"/>
      <c r="E68" s="33"/>
      <c r="F68" s="93"/>
      <c r="G68" s="33"/>
      <c r="H68" s="33"/>
      <c r="I68" s="33"/>
      <c r="J68" s="33"/>
    </row>
    <row r="69" spans="1:10" ht="27" customHeight="1" x14ac:dyDescent="0.3">
      <c r="A69" s="33" t="s">
        <v>202</v>
      </c>
      <c r="B69" s="33"/>
      <c r="C69" s="33"/>
      <c r="D69" s="33"/>
      <c r="E69" s="33"/>
      <c r="F69" s="6"/>
      <c r="G69" s="33"/>
      <c r="H69" s="33"/>
      <c r="I69" s="33"/>
      <c r="J69" s="33"/>
    </row>
    <row r="70" spans="1:10" ht="15" thickBot="1" x14ac:dyDescent="0.35">
      <c r="A70" s="130" t="s">
        <v>195</v>
      </c>
      <c r="B70" s="131"/>
      <c r="C70" s="132"/>
      <c r="D70" s="132"/>
      <c r="E70" s="92"/>
      <c r="F70" s="6"/>
      <c r="G70" s="33"/>
      <c r="H70" s="33"/>
      <c r="I70" s="33"/>
      <c r="J70" s="33"/>
    </row>
    <row r="71" spans="1:10" x14ac:dyDescent="0.3">
      <c r="A71" s="133" t="s">
        <v>72</v>
      </c>
      <c r="B71" s="134" t="s">
        <v>51</v>
      </c>
      <c r="C71" s="135" t="s">
        <v>50</v>
      </c>
      <c r="D71" s="136" t="s">
        <v>167</v>
      </c>
      <c r="E71" s="6"/>
      <c r="F71" s="33"/>
      <c r="G71" s="33"/>
      <c r="H71" s="33"/>
    </row>
    <row r="72" spans="1:10" x14ac:dyDescent="0.3">
      <c r="A72" s="66" t="s">
        <v>125</v>
      </c>
      <c r="B72" s="44" t="str">
        <f>VLOOKUP(A72,Tables!A:B,2,FALSE)</f>
        <v>Linear Feet</v>
      </c>
      <c r="C72" s="74" t="s">
        <v>75</v>
      </c>
      <c r="D72" s="6" t="str">
        <f>VLOOKUP(Table4[[#This Row],[OVERALL QUANTITY]],Tables!K58:L62,2,FALSE)</f>
        <v xml:space="preserve">$                                -   </v>
      </c>
      <c r="E72" s="6"/>
      <c r="F72" s="33"/>
      <c r="G72" s="33"/>
      <c r="H72" s="33"/>
    </row>
    <row r="73" spans="1:10" x14ac:dyDescent="0.3">
      <c r="A73" s="66" t="s">
        <v>10</v>
      </c>
      <c r="B73" s="44" t="str">
        <f>VLOOKUP(A73,Tables!A:B,2,FALSE)</f>
        <v>Linear Feet</v>
      </c>
      <c r="C73" s="74" t="s">
        <v>75</v>
      </c>
      <c r="D73" s="6" t="str">
        <f>VLOOKUP(Table4[[#This Row],[OVERALL QUANTITY]],Tables!K58:L62,2,FALSE)</f>
        <v xml:space="preserve">$                                -   </v>
      </c>
      <c r="E73" s="6"/>
      <c r="F73" s="33"/>
      <c r="G73" s="33"/>
      <c r="H73" s="33"/>
    </row>
    <row r="74" spans="1:10" x14ac:dyDescent="0.3">
      <c r="A74" s="66" t="s">
        <v>13</v>
      </c>
      <c r="B74" s="44" t="str">
        <f>VLOOKUP(A74,Tables!A:B,2,FALSE)</f>
        <v>Square Feet</v>
      </c>
      <c r="C74" s="74" t="s">
        <v>75</v>
      </c>
      <c r="D74" s="6" t="str">
        <f>VLOOKUP(Table4[[#This Row],[OVERALL QUANTITY]],Tables!K58:L62,2,FALSE)</f>
        <v xml:space="preserve">$                                -   </v>
      </c>
      <c r="E74" s="6"/>
      <c r="F74" s="33"/>
      <c r="G74" s="33"/>
      <c r="H74" s="33"/>
    </row>
    <row r="75" spans="1:10" x14ac:dyDescent="0.3">
      <c r="A75" s="66" t="s">
        <v>11</v>
      </c>
      <c r="B75" s="44" t="str">
        <f>VLOOKUP(A75,Tables!A:B,2,FALSE)</f>
        <v>Square Feet</v>
      </c>
      <c r="C75" s="74" t="s">
        <v>75</v>
      </c>
      <c r="D75" s="6" t="str">
        <f>VLOOKUP(Table4[[#This Row],[OVERALL QUANTITY]],Tables!K58:L62,2,FALSE)</f>
        <v xml:space="preserve">$                                -   </v>
      </c>
      <c r="E75" s="6"/>
      <c r="F75" s="33"/>
      <c r="G75" s="33"/>
      <c r="H75" s="33"/>
    </row>
    <row r="76" spans="1:10" x14ac:dyDescent="0.3">
      <c r="A76" s="66" t="s">
        <v>137</v>
      </c>
      <c r="B76" s="44" t="str">
        <f>VLOOKUP(A76,Tables!A:B,2,FALSE)</f>
        <v>Square Feet</v>
      </c>
      <c r="C76" s="74" t="s">
        <v>75</v>
      </c>
      <c r="D76" s="6" t="str">
        <f>VLOOKUP(Table4[[#This Row],[OVERALL QUANTITY]],Tables!K58:L62,2,FALSE)</f>
        <v xml:space="preserve">$                                -   </v>
      </c>
      <c r="E76" s="6"/>
      <c r="F76" s="33"/>
      <c r="G76" s="33"/>
      <c r="H76" s="33"/>
    </row>
    <row r="77" spans="1:10" x14ac:dyDescent="0.3">
      <c r="A77" s="66" t="s">
        <v>12</v>
      </c>
      <c r="B77" s="44" t="str">
        <f>VLOOKUP(A77,Tables!A:B,2,FALSE)</f>
        <v>Each</v>
      </c>
      <c r="C77" s="74" t="s">
        <v>75</v>
      </c>
      <c r="D77" s="6" t="str">
        <f>VLOOKUP(Table4[[#This Row],[OVERALL QUANTITY]],Tables!K58:L62,2,FALSE)</f>
        <v xml:space="preserve">$                                -   </v>
      </c>
      <c r="E77" s="6"/>
      <c r="F77" s="33"/>
      <c r="G77" s="33"/>
      <c r="H77" s="33"/>
    </row>
    <row r="78" spans="1:10" x14ac:dyDescent="0.3">
      <c r="A78" s="75"/>
      <c r="B78" s="76"/>
      <c r="C78" s="75"/>
      <c r="D78" s="73"/>
      <c r="E78" s="6"/>
      <c r="F78" s="33"/>
      <c r="G78" s="33"/>
      <c r="H78" s="33"/>
    </row>
    <row r="79" spans="1:10" x14ac:dyDescent="0.3">
      <c r="A79" s="77" t="s">
        <v>151</v>
      </c>
      <c r="B79" s="137"/>
      <c r="C79" s="7"/>
      <c r="D79" s="73">
        <f>SUM(D72:D77)*0.2</f>
        <v>0</v>
      </c>
      <c r="E79" s="16"/>
      <c r="F79" s="33"/>
      <c r="G79" s="33"/>
      <c r="H79" s="33"/>
    </row>
    <row r="80" spans="1:10" x14ac:dyDescent="0.3">
      <c r="A80" s="77" t="s">
        <v>161</v>
      </c>
      <c r="B80" s="137"/>
      <c r="C80" s="7"/>
      <c r="D80" s="73">
        <f>SUM(D72:D77)*0.1</f>
        <v>0</v>
      </c>
      <c r="E80" s="33"/>
      <c r="F80" s="33"/>
      <c r="G80" s="33"/>
      <c r="H80" s="33"/>
    </row>
    <row r="81" spans="1:10" x14ac:dyDescent="0.3">
      <c r="A81" s="36"/>
      <c r="B81" s="36"/>
      <c r="C81" s="42" t="s">
        <v>204</v>
      </c>
      <c r="D81" s="138">
        <f>CEILING(SUM(D72:D80), 500)</f>
        <v>0</v>
      </c>
      <c r="F81" s="33"/>
      <c r="G81" s="33"/>
      <c r="H81" s="33"/>
      <c r="I81" s="33"/>
    </row>
    <row r="82" spans="1:10" x14ac:dyDescent="0.3">
      <c r="A82" s="57" t="s">
        <v>196</v>
      </c>
      <c r="B82" s="33"/>
      <c r="C82" s="33"/>
      <c r="D82" s="33"/>
      <c r="E82" s="33"/>
      <c r="G82" s="87"/>
      <c r="H82" s="33"/>
      <c r="I82" s="33"/>
      <c r="J82" s="33"/>
    </row>
    <row r="83" spans="1:10" x14ac:dyDescent="0.3">
      <c r="B83" s="33"/>
      <c r="C83" s="33"/>
      <c r="E83" s="33"/>
      <c r="F83" s="33"/>
      <c r="G83" s="33"/>
      <c r="H83" s="33"/>
      <c r="I83" s="33"/>
      <c r="J83" s="33"/>
    </row>
    <row r="84" spans="1:10" x14ac:dyDescent="0.3">
      <c r="A84" s="33"/>
      <c r="B84" s="33"/>
      <c r="C84" s="33"/>
      <c r="D84" s="33"/>
      <c r="E84" s="33"/>
      <c r="G84" s="33"/>
      <c r="H84" s="33"/>
      <c r="I84" s="33"/>
      <c r="J84" s="33"/>
    </row>
    <row r="85" spans="1:10" x14ac:dyDescent="0.3">
      <c r="A85" s="33"/>
      <c r="B85" s="33"/>
      <c r="C85" s="33"/>
      <c r="D85" s="33"/>
      <c r="E85" s="33"/>
      <c r="F85" s="33"/>
      <c r="H85" s="33"/>
      <c r="I85" s="33"/>
      <c r="J85" s="33"/>
    </row>
    <row r="86" spans="1:10" x14ac:dyDescent="0.3">
      <c r="A86" s="33"/>
      <c r="B86" s="33"/>
      <c r="C86" s="33"/>
      <c r="D86" s="33"/>
      <c r="E86" s="33"/>
      <c r="F86" s="33"/>
      <c r="G86" s="33"/>
      <c r="H86" s="33"/>
      <c r="I86" s="33"/>
      <c r="J86" s="33"/>
    </row>
    <row r="87" spans="1:10" x14ac:dyDescent="0.3">
      <c r="A87" s="33"/>
      <c r="B87" s="33"/>
      <c r="C87" s="33"/>
      <c r="D87" s="33"/>
      <c r="E87" s="33"/>
      <c r="F87" s="33"/>
      <c r="G87" s="33"/>
      <c r="H87" s="33"/>
      <c r="I87" s="33"/>
      <c r="J87" s="33"/>
    </row>
    <row r="88" spans="1:10" x14ac:dyDescent="0.3">
      <c r="A88" s="33"/>
      <c r="B88" s="33"/>
      <c r="C88" s="33"/>
      <c r="D88" s="33"/>
      <c r="E88" s="33"/>
      <c r="F88" s="33"/>
      <c r="G88" s="33"/>
      <c r="H88" s="33"/>
      <c r="I88" s="33"/>
      <c r="J88" s="33"/>
    </row>
    <row r="89" spans="1:10" x14ac:dyDescent="0.3">
      <c r="F89" s="33"/>
      <c r="G89" s="33"/>
      <c r="H89" s="33"/>
      <c r="I89" s="33"/>
      <c r="J89" s="33"/>
    </row>
    <row r="90" spans="1:10" x14ac:dyDescent="0.3">
      <c r="G90" s="33"/>
      <c r="H90" s="33"/>
      <c r="I90" s="33"/>
      <c r="J90" s="33"/>
    </row>
    <row r="91" spans="1:10" x14ac:dyDescent="0.3">
      <c r="G91" s="33"/>
      <c r="H91" s="33"/>
      <c r="I91" s="33"/>
      <c r="J91" s="33"/>
    </row>
    <row r="92" spans="1:10" x14ac:dyDescent="0.3">
      <c r="G92" s="33"/>
      <c r="H92" s="33"/>
      <c r="I92" s="33"/>
      <c r="J92" s="33"/>
    </row>
  </sheetData>
  <sheetProtection algorithmName="SHA-512" hashValue="XCJnwrq1+gVzd9sOZ/uDzb3V2ZnDeKUGBxV/ySFZcJ7FOMJ4QZ7lVYrZu/I9Yj5jR5mAI4XRGOCW/aUPCyz2Sw==" saltValue="poEjdMzIypYAR3PV678fWg==" spinCount="100000" sheet="1" objects="1" scenarios="1"/>
  <phoneticPr fontId="6" type="noConversion"/>
  <pageMargins left="0.25" right="0.25" top="0.79010416666666672" bottom="0.59375" header="0.3" footer="0.3"/>
  <pageSetup scale="70" fitToHeight="0" orientation="landscape" r:id="rId1"/>
  <headerFooter>
    <oddFooter xml:space="preserve">&amp;RGuide: PCB's in Building Materials 
</oddFooter>
  </headerFooter>
  <rowBreaks count="3" manualBreakCount="3">
    <brk id="11" max="16383" man="1"/>
    <brk id="36" max="16383" man="1"/>
    <brk id="54" max="16383" man="1"/>
  </rowBreaks>
  <ignoredErrors>
    <ignoredError sqref="D42:D43 D40:D41 D44:D49 D29 E40:E49 E58:E63 D30:D33 E51:E52 D50:E50 D16 D15 D17:D23 E67 E65:E66" calculatedColumn="1"/>
    <ignoredError sqref="D60" formula="1"/>
    <ignoredError sqref="C42:C49" listDataValidation="1"/>
  </ignoredErrors>
  <tableParts count="6">
    <tablePart r:id="rId2"/>
    <tablePart r:id="rId3"/>
    <tablePart r:id="rId4"/>
    <tablePart r:id="rId5"/>
    <tablePart r:id="rId6"/>
    <tablePart r:id="rId7"/>
  </tableParts>
  <extLst>
    <ext xmlns:x14="http://schemas.microsoft.com/office/spreadsheetml/2009/9/main" uri="{CCE6A557-97BC-4b89-ADB6-D9C93CAAB3DF}">
      <x14:dataValidations xmlns:xm="http://schemas.microsoft.com/office/excel/2006/main" xWindow="1115" yWindow="521" count="15">
        <x14:dataValidation type="list" allowBlank="1" showInputMessage="1" showErrorMessage="1" promptTitle="PCB " prompt="Sample Type">
          <x14:formula1>
            <xm:f>Tables!$A$1:$A$6</xm:f>
          </x14:formula1>
          <xm:sqref>A40:A49</xm:sqref>
        </x14:dataValidation>
        <x14:dataValidation type="list" allowBlank="1" showInputMessage="1" showErrorMessage="1" promptTitle="Quanity Range of Material" prompt="Select range of PCB materail being removed">
          <x14:formula1>
            <xm:f>Tables!$K$58:$K$62</xm:f>
          </x14:formula1>
          <xm:sqref>C72:C77</xm:sqref>
        </x14:dataValidation>
        <x14:dataValidation type="list" allowBlank="1" showInputMessage="1" showErrorMessage="1" promptTitle="SF of Transported Waste">
          <x14:formula1>
            <xm:f>Tables!$J$58:$J$61</xm:f>
          </x14:formula1>
          <xm:sqref>C68</xm:sqref>
        </x14:dataValidation>
        <x14:dataValidation type="list" allowBlank="1" showInputMessage="1" showErrorMessage="1" promptTitle="PCB " prompt="Removal Method">
          <x14:formula1>
            <xm:f>Tables!$D$25:$D$36</xm:f>
          </x14:formula1>
          <xm:sqref>A40:A49</xm:sqref>
        </x14:dataValidation>
        <x14:dataValidation type="list" allowBlank="1" showInputMessage="1" showErrorMessage="1" promptTitle="Size based on Project area" prompt="Square Feet or Linear Feet">
          <x14:formula1>
            <xm:f>Tables!$L$40:$L$44</xm:f>
          </x14:formula1>
          <xm:sqref>B30:B33</xm:sqref>
        </x14:dataValidation>
        <x14:dataValidation type="list" allowBlank="1" showInputMessage="1" showErrorMessage="1" promptTitle="Quanity of Material" prompt="Select range of PCB materail being removed">
          <x14:formula1>
            <xm:f>IF(B63="Square Feet",Tables!$F$41:$F$46, IF(B63="Linear Feet",Tables!$I$41:$I$46, IF(B63="Each",Tables!$A$99:$A$103)))</xm:f>
          </x14:formula1>
          <xm:sqref>C63</xm:sqref>
        </x14:dataValidation>
        <x14:dataValidation type="list" allowBlank="1" showInputMessage="1" showErrorMessage="1" promptTitle="Quanity of Material" prompt="Select range of PCB materail being removed">
          <x14:formula1>
            <xm:f>IF(B58="Linear Feet",Tables!$A$51:$A$57)</xm:f>
          </x14:formula1>
          <xm:sqref>C58</xm:sqref>
        </x14:dataValidation>
        <x14:dataValidation type="list" allowBlank="1" showInputMessage="1" showErrorMessage="1" promptTitle="Quanity of Material" prompt="Select range of PCB materail being removed">
          <x14:formula1>
            <xm:f>IF(B59="Linear Feet",Tables!$A$61:$A$67)</xm:f>
          </x14:formula1>
          <xm:sqref>C59</xm:sqref>
        </x14:dataValidation>
        <x14:dataValidation type="list" allowBlank="1" showInputMessage="1" showErrorMessage="1" promptTitle="Quanity of Material" prompt="Select range of PCB materail being removed">
          <x14:formula1>
            <xm:f>IF(B60="Square Feet",Tables!$A$70:$A$76)</xm:f>
          </x14:formula1>
          <xm:sqref>C60</xm:sqref>
        </x14:dataValidation>
        <x14:dataValidation type="list" allowBlank="1" showInputMessage="1" showErrorMessage="1" promptTitle="Quanity of Material" prompt="Select range of PCB materail being removed">
          <x14:formula1>
            <xm:f>IF(B61="Square Feet",Tables!$A$79:$A$85)</xm:f>
          </x14:formula1>
          <xm:sqref>C61</xm:sqref>
        </x14:dataValidation>
        <x14:dataValidation type="list" allowBlank="1" showInputMessage="1" showErrorMessage="1" promptTitle="Quanity of Material" prompt="Select range of PCB materail being removed">
          <x14:formula1>
            <xm:f>IF(B62="Square Feet",Tables!$A$89:$A$95)</xm:f>
          </x14:formula1>
          <xm:sqref>C62</xm:sqref>
        </x14:dataValidation>
        <x14:dataValidation type="list" allowBlank="1" showInputMessage="1" showErrorMessage="1" promptTitle="Potential Plans Reports" prompt="If Building does not have one then select yes">
          <x14:formula1>
            <xm:f>Tables!$I$3:$I$4</xm:f>
          </x14:formula1>
          <xm:sqref>B17:B23 B15</xm:sqref>
        </x14:dataValidation>
        <x14:dataValidation type="list" allowBlank="1" showInputMessage="1" showErrorMessage="1" promptTitle="Size based on Project area" prompt="Square Feet or Linear Feet">
          <x14:formula1>
            <xm:f>Tables!$J$25:$J$29</xm:f>
          </x14:formula1>
          <xm:sqref>B53 C52</xm:sqref>
        </x14:dataValidation>
        <x14:dataValidation type="list" allowBlank="1" showInputMessage="1" showErrorMessage="1" promptTitle="Quantity of sampled material" prompt="Pick the range of the building material quanity for your project">
          <x14:formula1>
            <xm:f>IF(B40="Square Feet",Tables!$F$25:$F$28, IF(B40="Linear Feet",Tables!$H$25:$H$31, IF(B40="Each",Tables!$K$25:$K$30, IF(B40="Measurement Type",Tables!$F$25))))</xm:f>
          </x14:formula1>
          <xm:sqref>C40:C49</xm:sqref>
        </x14:dataValidation>
        <x14:dataValidation type="list" allowBlank="1" showInputMessage="1" showErrorMessage="1" promptTitle="Quantity of sampled material" prompt="Pick the range of the building material quanity for your project">
          <x14:formula1>
            <xm:f>IF(B50="Square Feet",Tables!$F$25:$F$28, IF(B50="Linear Feet",Tables!$H$25:$H$31, IF(B50="Each",Tables!$J$40:$J$44, IF(B50="Measurement Type",Tables!$F$25))))</xm:f>
          </x14:formula1>
          <xm:sqref>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05"/>
  <sheetViews>
    <sheetView zoomScale="70" zoomScaleNormal="70" workbookViewId="0">
      <selection activeCell="A10" sqref="A10"/>
    </sheetView>
  </sheetViews>
  <sheetFormatPr defaultRowHeight="14.4" x14ac:dyDescent="0.3"/>
  <cols>
    <col min="1" max="1" width="45.44140625" customWidth="1"/>
    <col min="2" max="2" width="26.5546875" customWidth="1"/>
    <col min="3" max="3" width="38.44140625" customWidth="1"/>
    <col min="4" max="4" width="37.44140625" customWidth="1"/>
    <col min="5" max="5" width="27.5546875" customWidth="1"/>
    <col min="6" max="6" width="28.44140625" customWidth="1"/>
    <col min="7" max="7" width="30" customWidth="1"/>
    <col min="8" max="8" width="27.5546875" customWidth="1"/>
    <col min="9" max="9" width="29.88671875" customWidth="1"/>
    <col min="10" max="10" width="29.5546875" customWidth="1"/>
    <col min="11" max="11" width="32.109375" customWidth="1"/>
    <col min="12" max="12" width="28.109375" customWidth="1"/>
    <col min="13" max="13" width="29.5546875" customWidth="1"/>
    <col min="14" max="14" width="26.5546875" customWidth="1"/>
  </cols>
  <sheetData>
    <row r="1" spans="1:10" x14ac:dyDescent="0.3">
      <c r="A1" s="9" t="s">
        <v>62</v>
      </c>
      <c r="B1" s="9" t="s">
        <v>14</v>
      </c>
    </row>
    <row r="2" spans="1:10" x14ac:dyDescent="0.3">
      <c r="A2" s="8" t="s">
        <v>125</v>
      </c>
      <c r="B2" s="1" t="s">
        <v>7</v>
      </c>
      <c r="D2" t="s">
        <v>24</v>
      </c>
    </row>
    <row r="3" spans="1:10" ht="15" x14ac:dyDescent="0.3">
      <c r="A3" s="1" t="s">
        <v>10</v>
      </c>
      <c r="B3" s="1" t="s">
        <v>7</v>
      </c>
      <c r="D3" s="1" t="s">
        <v>23</v>
      </c>
      <c r="E3" s="1" t="s">
        <v>49</v>
      </c>
      <c r="F3" s="1" t="s">
        <v>68</v>
      </c>
      <c r="G3" s="10" t="s">
        <v>60</v>
      </c>
      <c r="H3" s="13" t="s">
        <v>78</v>
      </c>
      <c r="I3" s="11" t="s">
        <v>70</v>
      </c>
      <c r="J3" s="1"/>
    </row>
    <row r="4" spans="1:10" x14ac:dyDescent="0.3">
      <c r="A4" s="8" t="s">
        <v>13</v>
      </c>
      <c r="B4" s="1" t="s">
        <v>6</v>
      </c>
      <c r="D4" s="4" t="s">
        <v>28</v>
      </c>
      <c r="E4" s="1" t="s">
        <v>60</v>
      </c>
      <c r="F4" s="1">
        <v>1000</v>
      </c>
      <c r="G4" s="10" t="s">
        <v>52</v>
      </c>
      <c r="H4" s="20">
        <v>1000</v>
      </c>
      <c r="I4" s="11" t="s">
        <v>71</v>
      </c>
      <c r="J4" s="1"/>
    </row>
    <row r="5" spans="1:10" x14ac:dyDescent="0.3">
      <c r="A5" s="1" t="s">
        <v>11</v>
      </c>
      <c r="B5" s="1" t="s">
        <v>6</v>
      </c>
      <c r="D5" s="4" t="s">
        <v>67</v>
      </c>
      <c r="E5" s="1">
        <v>0</v>
      </c>
      <c r="F5" s="1" t="s">
        <v>69</v>
      </c>
      <c r="G5" s="10" t="s">
        <v>53</v>
      </c>
      <c r="H5" s="20">
        <v>15000</v>
      </c>
      <c r="I5" s="11"/>
      <c r="J5" s="1"/>
    </row>
    <row r="6" spans="1:10" x14ac:dyDescent="0.3">
      <c r="A6" s="1" t="s">
        <v>137</v>
      </c>
      <c r="B6" s="1" t="s">
        <v>6</v>
      </c>
      <c r="D6" s="4" t="s">
        <v>29</v>
      </c>
      <c r="E6" s="1" t="s">
        <v>66</v>
      </c>
      <c r="F6" s="1">
        <v>1000</v>
      </c>
      <c r="G6" s="10" t="s">
        <v>26</v>
      </c>
      <c r="H6" s="20">
        <v>2000</v>
      </c>
      <c r="I6" s="11"/>
      <c r="J6" s="1"/>
    </row>
    <row r="7" spans="1:10" x14ac:dyDescent="0.3">
      <c r="A7" s="1" t="s">
        <v>12</v>
      </c>
      <c r="B7" s="1" t="s">
        <v>45</v>
      </c>
      <c r="D7" s="4" t="s">
        <v>30</v>
      </c>
      <c r="E7" s="1" t="s">
        <v>66</v>
      </c>
      <c r="F7" s="1">
        <v>1500</v>
      </c>
      <c r="G7" s="10" t="s">
        <v>27</v>
      </c>
      <c r="H7" s="20">
        <v>2500</v>
      </c>
      <c r="I7" s="11"/>
      <c r="J7" s="1"/>
    </row>
    <row r="8" spans="1:10" ht="15" x14ac:dyDescent="0.3">
      <c r="A8" s="1" t="s">
        <v>61</v>
      </c>
      <c r="B8" s="1" t="s">
        <v>14</v>
      </c>
      <c r="D8" s="4" t="s">
        <v>39</v>
      </c>
      <c r="E8" s="1" t="s">
        <v>66</v>
      </c>
      <c r="F8" s="1">
        <v>2500</v>
      </c>
      <c r="G8" s="11"/>
      <c r="H8" s="13"/>
      <c r="I8" s="11"/>
      <c r="J8" s="1"/>
    </row>
    <row r="9" spans="1:10" x14ac:dyDescent="0.3">
      <c r="A9" s="1" t="s">
        <v>63</v>
      </c>
      <c r="B9" s="1" t="s">
        <v>14</v>
      </c>
      <c r="D9" s="4" t="s">
        <v>38</v>
      </c>
      <c r="E9" s="1" t="s">
        <v>60</v>
      </c>
      <c r="F9" s="1">
        <v>2500</v>
      </c>
      <c r="G9" s="11"/>
      <c r="H9" s="10"/>
      <c r="I9" s="11"/>
      <c r="J9" s="1"/>
    </row>
    <row r="10" spans="1:10" x14ac:dyDescent="0.3">
      <c r="A10" s="15" t="s">
        <v>34</v>
      </c>
      <c r="B10" s="1" t="s">
        <v>14</v>
      </c>
      <c r="D10" s="4" t="s">
        <v>31</v>
      </c>
      <c r="E10" s="1" t="s">
        <v>60</v>
      </c>
      <c r="F10" s="1">
        <v>5000</v>
      </c>
      <c r="G10" s="11"/>
      <c r="H10" s="10"/>
      <c r="I10" s="11"/>
      <c r="J10" s="1"/>
    </row>
    <row r="11" spans="1:10" x14ac:dyDescent="0.3">
      <c r="A11" s="15" t="s">
        <v>2</v>
      </c>
      <c r="B11" s="1" t="s">
        <v>14</v>
      </c>
      <c r="D11" s="4" t="s">
        <v>32</v>
      </c>
      <c r="E11" s="1" t="s">
        <v>60</v>
      </c>
      <c r="F11" s="1">
        <v>1200</v>
      </c>
      <c r="G11" s="11"/>
      <c r="H11" s="10"/>
      <c r="I11" s="11"/>
      <c r="J11" s="1"/>
    </row>
    <row r="12" spans="1:10" x14ac:dyDescent="0.3">
      <c r="A12" s="15" t="s">
        <v>34</v>
      </c>
      <c r="B12" s="1" t="s">
        <v>14</v>
      </c>
      <c r="D12" s="4" t="s">
        <v>33</v>
      </c>
      <c r="E12" s="1" t="s">
        <v>66</v>
      </c>
      <c r="F12" s="1">
        <v>1000</v>
      </c>
      <c r="G12" s="11"/>
      <c r="H12" s="10"/>
      <c r="I12" s="11"/>
      <c r="J12" s="1"/>
    </row>
    <row r="13" spans="1:10" x14ac:dyDescent="0.3">
      <c r="A13" s="15" t="s">
        <v>2</v>
      </c>
      <c r="B13" s="1" t="s">
        <v>14</v>
      </c>
    </row>
    <row r="15" spans="1:10" x14ac:dyDescent="0.3">
      <c r="D15" t="s">
        <v>24</v>
      </c>
    </row>
    <row r="16" spans="1:10" ht="15" x14ac:dyDescent="0.3">
      <c r="D16" s="1" t="s">
        <v>23</v>
      </c>
      <c r="E16" s="10" t="s">
        <v>60</v>
      </c>
      <c r="F16" s="13" t="s">
        <v>156</v>
      </c>
      <c r="G16" s="1"/>
      <c r="H16" s="1"/>
    </row>
    <row r="17" spans="1:14" x14ac:dyDescent="0.3">
      <c r="D17" s="4" t="s">
        <v>35</v>
      </c>
      <c r="E17" s="10" t="s">
        <v>52</v>
      </c>
      <c r="F17" s="20"/>
      <c r="G17" s="1"/>
      <c r="H17" s="2"/>
    </row>
    <row r="18" spans="1:14" x14ac:dyDescent="0.3">
      <c r="A18" s="21" t="s">
        <v>116</v>
      </c>
      <c r="B18" s="22" t="s">
        <v>117</v>
      </c>
      <c r="D18" s="5" t="s">
        <v>37</v>
      </c>
      <c r="E18" s="10" t="s">
        <v>53</v>
      </c>
      <c r="F18" s="12"/>
      <c r="G18" s="1"/>
      <c r="H18" s="1"/>
    </row>
    <row r="19" spans="1:14" x14ac:dyDescent="0.3">
      <c r="A19" s="1" t="s">
        <v>114</v>
      </c>
      <c r="B19" s="23">
        <v>200</v>
      </c>
      <c r="D19" s="4" t="s">
        <v>40</v>
      </c>
      <c r="E19" s="10" t="s">
        <v>26</v>
      </c>
      <c r="F19" s="12"/>
      <c r="G19" s="1"/>
      <c r="H19" s="1"/>
    </row>
    <row r="20" spans="1:14" x14ac:dyDescent="0.3">
      <c r="A20" s="25" t="s">
        <v>120</v>
      </c>
      <c r="B20" s="23" t="s">
        <v>43</v>
      </c>
      <c r="D20" s="4" t="s">
        <v>58</v>
      </c>
      <c r="E20" s="10" t="s">
        <v>27</v>
      </c>
      <c r="F20" s="12"/>
      <c r="G20" s="1"/>
    </row>
    <row r="21" spans="1:14" ht="15" x14ac:dyDescent="0.3">
      <c r="A21" s="10" t="s">
        <v>60</v>
      </c>
      <c r="B21" s="13" t="s">
        <v>149</v>
      </c>
      <c r="C21" s="17" t="s">
        <v>123</v>
      </c>
      <c r="D21" s="4" t="s">
        <v>36</v>
      </c>
      <c r="E21" s="11"/>
      <c r="F21" s="10"/>
      <c r="G21" s="1"/>
    </row>
    <row r="22" spans="1:14" x14ac:dyDescent="0.3">
      <c r="A22" s="25" t="s">
        <v>52</v>
      </c>
      <c r="B22" s="23">
        <f>200+C22</f>
        <v>1700</v>
      </c>
      <c r="C22" s="23">
        <v>1500</v>
      </c>
    </row>
    <row r="23" spans="1:14" x14ac:dyDescent="0.3">
      <c r="A23" s="25" t="s">
        <v>53</v>
      </c>
      <c r="B23" s="24">
        <f>800+C23</f>
        <v>3800</v>
      </c>
      <c r="C23" s="23">
        <v>3000</v>
      </c>
    </row>
    <row r="24" spans="1:14" x14ac:dyDescent="0.3">
      <c r="A24" s="25" t="s">
        <v>26</v>
      </c>
      <c r="B24" s="24">
        <f>800*5+C24</f>
        <v>8500</v>
      </c>
      <c r="C24" s="23">
        <v>4500</v>
      </c>
      <c r="D24" t="s">
        <v>3</v>
      </c>
      <c r="J24" s="8" t="s">
        <v>115</v>
      </c>
      <c r="L24" t="s">
        <v>12</v>
      </c>
      <c r="M24" s="1"/>
    </row>
    <row r="25" spans="1:14" ht="15.6" x14ac:dyDescent="0.3">
      <c r="A25" s="25" t="s">
        <v>27</v>
      </c>
      <c r="B25" s="24">
        <f>8000+C25</f>
        <v>13500</v>
      </c>
      <c r="C25" s="23">
        <v>5500</v>
      </c>
      <c r="D25" s="1" t="s">
        <v>62</v>
      </c>
      <c r="E25" s="1" t="s">
        <v>14</v>
      </c>
      <c r="F25" s="1" t="s">
        <v>159</v>
      </c>
      <c r="G25" s="1" t="s">
        <v>8</v>
      </c>
      <c r="H25" s="1" t="s">
        <v>155</v>
      </c>
      <c r="I25" s="1" t="s">
        <v>9</v>
      </c>
      <c r="J25" s="10" t="s">
        <v>158</v>
      </c>
      <c r="K25" s="31" t="s">
        <v>144</v>
      </c>
      <c r="L25" t="s">
        <v>75</v>
      </c>
      <c r="M25" s="31" t="s">
        <v>157</v>
      </c>
      <c r="N25" s="1"/>
    </row>
    <row r="26" spans="1:14" x14ac:dyDescent="0.3">
      <c r="A26" s="1"/>
      <c r="C26" s="1"/>
      <c r="D26" s="1" t="s">
        <v>125</v>
      </c>
      <c r="E26" s="1" t="s">
        <v>7</v>
      </c>
      <c r="F26" s="1" t="s">
        <v>15</v>
      </c>
      <c r="G26" s="1">
        <v>3</v>
      </c>
      <c r="H26" s="2" t="s">
        <v>18</v>
      </c>
      <c r="I26" s="1">
        <v>2</v>
      </c>
      <c r="J26" s="10" t="s">
        <v>52</v>
      </c>
      <c r="K26" s="3">
        <v>1000</v>
      </c>
      <c r="L26" s="10" t="s">
        <v>52</v>
      </c>
      <c r="M26" s="46">
        <v>100</v>
      </c>
      <c r="N26" s="1"/>
    </row>
    <row r="27" spans="1:14" x14ac:dyDescent="0.3">
      <c r="A27" s="1"/>
      <c r="C27" s="1"/>
      <c r="D27" s="1" t="s">
        <v>10</v>
      </c>
      <c r="E27" s="1" t="s">
        <v>7</v>
      </c>
      <c r="F27" s="1" t="s">
        <v>16</v>
      </c>
      <c r="G27" s="1">
        <v>5</v>
      </c>
      <c r="H27" s="1" t="s">
        <v>19</v>
      </c>
      <c r="I27" s="1">
        <v>3</v>
      </c>
      <c r="J27" s="10" t="s">
        <v>53</v>
      </c>
      <c r="K27" s="3">
        <v>2500</v>
      </c>
      <c r="L27" s="10" t="s">
        <v>53</v>
      </c>
      <c r="M27" s="46">
        <v>200</v>
      </c>
      <c r="N27" s="1"/>
    </row>
    <row r="28" spans="1:14" x14ac:dyDescent="0.3">
      <c r="A28" s="1"/>
      <c r="C28" s="1"/>
      <c r="D28" s="1" t="s">
        <v>13</v>
      </c>
      <c r="E28" s="1" t="s">
        <v>6</v>
      </c>
      <c r="F28" s="1" t="s">
        <v>17</v>
      </c>
      <c r="G28" s="1">
        <v>7</v>
      </c>
      <c r="H28" s="1" t="s">
        <v>20</v>
      </c>
      <c r="I28" s="1">
        <v>5</v>
      </c>
      <c r="J28" s="10" t="s">
        <v>26</v>
      </c>
      <c r="K28" s="3">
        <v>4000</v>
      </c>
      <c r="L28" s="10" t="s">
        <v>26</v>
      </c>
      <c r="M28" s="46">
        <v>300</v>
      </c>
      <c r="N28" s="1"/>
    </row>
    <row r="29" spans="1:14" x14ac:dyDescent="0.3">
      <c r="A29" s="1"/>
      <c r="C29" s="1"/>
      <c r="D29" s="1" t="s">
        <v>11</v>
      </c>
      <c r="E29" s="1" t="s">
        <v>6</v>
      </c>
      <c r="F29" s="2" t="s">
        <v>18</v>
      </c>
      <c r="G29" s="1">
        <v>2</v>
      </c>
      <c r="H29" s="1" t="s">
        <v>21</v>
      </c>
      <c r="I29" s="1">
        <v>7</v>
      </c>
      <c r="J29" s="10" t="s">
        <v>27</v>
      </c>
      <c r="K29" s="3">
        <v>7500</v>
      </c>
      <c r="L29" s="10" t="s">
        <v>27</v>
      </c>
      <c r="M29" s="46">
        <v>500</v>
      </c>
      <c r="N29" s="1"/>
    </row>
    <row r="30" spans="1:14" x14ac:dyDescent="0.3">
      <c r="A30" s="26" t="s">
        <v>121</v>
      </c>
      <c r="B30" s="23" t="s">
        <v>43</v>
      </c>
      <c r="C30" s="2"/>
      <c r="D30" s="1" t="s">
        <v>137</v>
      </c>
      <c r="E30" s="1" t="s">
        <v>45</v>
      </c>
      <c r="F30" s="1" t="s">
        <v>19</v>
      </c>
      <c r="G30" s="1">
        <v>3</v>
      </c>
      <c r="H30" s="1" t="s">
        <v>25</v>
      </c>
      <c r="I30" s="1">
        <v>9</v>
      </c>
      <c r="J30" s="1"/>
      <c r="K30" s="1"/>
      <c r="L30" s="1"/>
      <c r="M30" s="1"/>
      <c r="N30" s="1"/>
    </row>
    <row r="31" spans="1:14" ht="15" x14ac:dyDescent="0.3">
      <c r="A31" s="10" t="s">
        <v>60</v>
      </c>
      <c r="B31" s="13" t="s">
        <v>149</v>
      </c>
      <c r="C31" s="2"/>
      <c r="D31" s="1" t="s">
        <v>12</v>
      </c>
      <c r="E31" s="1" t="s">
        <v>6</v>
      </c>
      <c r="F31" s="1" t="s">
        <v>20</v>
      </c>
      <c r="G31" s="1">
        <v>5</v>
      </c>
      <c r="H31" s="1"/>
      <c r="I31" s="1"/>
      <c r="J31" s="1"/>
      <c r="K31" s="1"/>
      <c r="L31" s="1"/>
      <c r="M31" s="1"/>
      <c r="N31" s="1"/>
    </row>
    <row r="32" spans="1:14" x14ac:dyDescent="0.3">
      <c r="A32" s="26" t="s">
        <v>52</v>
      </c>
      <c r="B32" s="23">
        <v>3000</v>
      </c>
      <c r="C32" s="2"/>
      <c r="D32" s="1"/>
      <c r="E32" s="1"/>
      <c r="F32" s="1" t="s">
        <v>21</v>
      </c>
      <c r="G32" s="1">
        <v>7</v>
      </c>
      <c r="H32" s="1"/>
      <c r="I32" s="1"/>
      <c r="J32" s="1"/>
      <c r="K32" s="1"/>
      <c r="L32" s="1"/>
      <c r="M32" s="1"/>
      <c r="N32" s="1"/>
    </row>
    <row r="33" spans="1:14" x14ac:dyDescent="0.3">
      <c r="A33" s="26" t="s">
        <v>53</v>
      </c>
      <c r="B33" s="23">
        <v>10000</v>
      </c>
      <c r="C33" s="2"/>
      <c r="D33" s="1"/>
      <c r="E33" s="1"/>
      <c r="F33" s="1" t="s">
        <v>25</v>
      </c>
      <c r="G33" s="1">
        <v>9</v>
      </c>
      <c r="H33" s="1"/>
      <c r="I33" s="1"/>
      <c r="J33" s="1"/>
      <c r="K33" s="1"/>
      <c r="L33" s="1"/>
      <c r="M33" s="1"/>
      <c r="N33" s="1"/>
    </row>
    <row r="34" spans="1:14" x14ac:dyDescent="0.3">
      <c r="A34" s="26" t="s">
        <v>26</v>
      </c>
      <c r="B34" s="23">
        <v>30000</v>
      </c>
      <c r="C34" s="1"/>
      <c r="D34" s="1"/>
      <c r="E34" s="1"/>
      <c r="F34" s="1"/>
      <c r="G34" s="1"/>
      <c r="H34" s="1"/>
      <c r="I34" s="1"/>
      <c r="J34" s="1"/>
      <c r="K34" s="1"/>
      <c r="L34" s="1"/>
      <c r="M34" s="1"/>
      <c r="N34" s="1"/>
    </row>
    <row r="35" spans="1:14" x14ac:dyDescent="0.3">
      <c r="A35" s="25" t="s">
        <v>27</v>
      </c>
      <c r="B35" s="23">
        <v>60000</v>
      </c>
      <c r="C35" s="1"/>
      <c r="D35" s="1"/>
      <c r="E35" s="1"/>
      <c r="F35" s="1"/>
      <c r="G35" s="1"/>
      <c r="H35" s="1"/>
      <c r="I35" s="1"/>
      <c r="J35" s="1"/>
      <c r="K35" s="1"/>
      <c r="L35" s="1"/>
      <c r="M35" s="1"/>
      <c r="N35" s="1"/>
    </row>
    <row r="36" spans="1:14" x14ac:dyDescent="0.3">
      <c r="A36" s="25" t="s">
        <v>122</v>
      </c>
      <c r="B36" s="23" t="s">
        <v>43</v>
      </c>
      <c r="C36" s="1"/>
      <c r="D36" s="1"/>
      <c r="E36" s="1"/>
      <c r="F36" s="1"/>
      <c r="G36" s="1"/>
      <c r="H36" s="1"/>
      <c r="I36" s="1"/>
      <c r="J36" s="1"/>
      <c r="K36" s="1"/>
      <c r="L36" s="1"/>
      <c r="M36" s="1"/>
    </row>
    <row r="37" spans="1:14" ht="15" x14ac:dyDescent="0.3">
      <c r="A37" s="10" t="s">
        <v>60</v>
      </c>
      <c r="B37" s="13" t="s">
        <v>149</v>
      </c>
      <c r="C37" s="1"/>
    </row>
    <row r="38" spans="1:14" x14ac:dyDescent="0.3">
      <c r="A38" s="25" t="s">
        <v>52</v>
      </c>
      <c r="B38" s="23">
        <v>2000</v>
      </c>
      <c r="D38" t="s">
        <v>59</v>
      </c>
    </row>
    <row r="39" spans="1:14" x14ac:dyDescent="0.3">
      <c r="A39" s="25" t="s">
        <v>53</v>
      </c>
      <c r="B39" s="23">
        <v>4000</v>
      </c>
      <c r="M39" t="s">
        <v>145</v>
      </c>
      <c r="N39" t="s">
        <v>146</v>
      </c>
    </row>
    <row r="40" spans="1:14" ht="15.6" x14ac:dyDescent="0.3">
      <c r="A40" s="25" t="s">
        <v>26</v>
      </c>
      <c r="B40" s="23">
        <v>8000</v>
      </c>
      <c r="D40" t="s">
        <v>61</v>
      </c>
      <c r="E40" t="s">
        <v>14</v>
      </c>
      <c r="F40" t="s">
        <v>76</v>
      </c>
      <c r="G40" t="s">
        <v>5</v>
      </c>
      <c r="H40" t="s">
        <v>138</v>
      </c>
      <c r="I40" t="s">
        <v>139</v>
      </c>
      <c r="J40" t="s">
        <v>75</v>
      </c>
      <c r="K40" s="29" t="s">
        <v>113</v>
      </c>
      <c r="L40" t="s">
        <v>60</v>
      </c>
      <c r="M40" s="31" t="s">
        <v>144</v>
      </c>
      <c r="N40" s="31" t="s">
        <v>147</v>
      </c>
    </row>
    <row r="41" spans="1:14" x14ac:dyDescent="0.3">
      <c r="A41" s="25" t="s">
        <v>27</v>
      </c>
      <c r="B41" s="23">
        <v>10000</v>
      </c>
      <c r="D41" s="1" t="s">
        <v>125</v>
      </c>
      <c r="E41" s="1" t="s">
        <v>7</v>
      </c>
      <c r="F41" s="1" t="s">
        <v>132</v>
      </c>
      <c r="G41" s="1"/>
      <c r="H41" s="1" t="s">
        <v>132</v>
      </c>
      <c r="I41" s="2" t="s">
        <v>18</v>
      </c>
      <c r="J41" t="s">
        <v>52</v>
      </c>
      <c r="K41" s="30">
        <f>2*100</f>
        <v>200</v>
      </c>
      <c r="L41" s="10" t="s">
        <v>52</v>
      </c>
      <c r="M41">
        <f t="shared" ref="M41" si="0">L59*0.15</f>
        <v>300</v>
      </c>
      <c r="N41">
        <f>L59*0.1</f>
        <v>200</v>
      </c>
    </row>
    <row r="42" spans="1:14" x14ac:dyDescent="0.3">
      <c r="A42" s="25" t="s">
        <v>124</v>
      </c>
      <c r="B42" s="3" t="s">
        <v>5</v>
      </c>
      <c r="D42" s="1" t="s">
        <v>10</v>
      </c>
      <c r="E42" s="1" t="s">
        <v>7</v>
      </c>
      <c r="F42" s="1" t="s">
        <v>133</v>
      </c>
      <c r="G42" s="1"/>
      <c r="H42" s="1" t="s">
        <v>133</v>
      </c>
      <c r="I42" s="2" t="s">
        <v>19</v>
      </c>
      <c r="J42" t="s">
        <v>53</v>
      </c>
      <c r="K42" s="30">
        <f>4*100</f>
        <v>400</v>
      </c>
      <c r="L42" s="10" t="s">
        <v>53</v>
      </c>
      <c r="M42">
        <f>L60*0.15</f>
        <v>1125</v>
      </c>
      <c r="N42">
        <f t="shared" ref="N42:N44" si="1">L60*0.1</f>
        <v>750</v>
      </c>
    </row>
    <row r="43" spans="1:14" ht="15" x14ac:dyDescent="0.3">
      <c r="A43" s="10" t="s">
        <v>60</v>
      </c>
      <c r="B43" s="13" t="s">
        <v>149</v>
      </c>
      <c r="D43" s="1" t="s">
        <v>13</v>
      </c>
      <c r="E43" s="1" t="s">
        <v>6</v>
      </c>
      <c r="F43" s="1" t="s">
        <v>134</v>
      </c>
      <c r="G43" s="1"/>
      <c r="H43" s="1" t="s">
        <v>134</v>
      </c>
      <c r="I43" s="2" t="s">
        <v>109</v>
      </c>
      <c r="J43" t="s">
        <v>26</v>
      </c>
      <c r="K43" s="30">
        <f>6*100</f>
        <v>600</v>
      </c>
      <c r="L43" s="10" t="s">
        <v>26</v>
      </c>
      <c r="M43">
        <f>L61*0.15</f>
        <v>3000</v>
      </c>
      <c r="N43">
        <f t="shared" si="1"/>
        <v>2000</v>
      </c>
    </row>
    <row r="44" spans="1:14" x14ac:dyDescent="0.3">
      <c r="A44" s="25" t="s">
        <v>52</v>
      </c>
      <c r="B44" s="23">
        <v>1500</v>
      </c>
      <c r="D44" s="1" t="s">
        <v>11</v>
      </c>
      <c r="E44" s="1" t="s">
        <v>6</v>
      </c>
      <c r="F44" s="1" t="s">
        <v>140</v>
      </c>
      <c r="G44" s="1"/>
      <c r="H44" s="1" t="s">
        <v>140</v>
      </c>
      <c r="I44" s="2" t="s">
        <v>110</v>
      </c>
      <c r="J44" t="s">
        <v>27</v>
      </c>
      <c r="K44" s="30">
        <f>8*100</f>
        <v>800</v>
      </c>
      <c r="L44" s="10" t="s">
        <v>27</v>
      </c>
      <c r="M44">
        <f>L62*0.15</f>
        <v>7500</v>
      </c>
      <c r="N44">
        <f t="shared" si="1"/>
        <v>5000</v>
      </c>
    </row>
    <row r="45" spans="1:14" ht="15.6" x14ac:dyDescent="0.3">
      <c r="A45" s="25" t="s">
        <v>53</v>
      </c>
      <c r="B45" s="23">
        <v>2500</v>
      </c>
      <c r="D45" s="1" t="s">
        <v>46</v>
      </c>
      <c r="E45" s="1" t="s">
        <v>6</v>
      </c>
      <c r="F45" s="1" t="s">
        <v>135</v>
      </c>
      <c r="G45" s="1"/>
      <c r="H45" s="1" t="s">
        <v>135</v>
      </c>
      <c r="I45" s="2" t="s">
        <v>21</v>
      </c>
      <c r="K45" s="29"/>
      <c r="L45" s="10"/>
    </row>
    <row r="46" spans="1:14" x14ac:dyDescent="0.3">
      <c r="A46" s="25" t="s">
        <v>26</v>
      </c>
      <c r="B46" s="23">
        <v>3500</v>
      </c>
      <c r="D46" s="1" t="s">
        <v>141</v>
      </c>
      <c r="E46" s="1" t="s">
        <v>45</v>
      </c>
      <c r="F46" s="1" t="s">
        <v>136</v>
      </c>
      <c r="G46" s="1"/>
      <c r="H46" s="1" t="s">
        <v>136</v>
      </c>
      <c r="I46" s="2" t="s">
        <v>25</v>
      </c>
      <c r="L46" s="10"/>
    </row>
    <row r="47" spans="1:14" x14ac:dyDescent="0.3">
      <c r="A47" s="25" t="s">
        <v>27</v>
      </c>
      <c r="B47" s="23">
        <v>5000</v>
      </c>
      <c r="D47" s="1"/>
      <c r="E47" s="1" t="s">
        <v>45</v>
      </c>
      <c r="F47" s="2" t="s">
        <v>18</v>
      </c>
      <c r="G47" s="1"/>
      <c r="H47" s="1"/>
      <c r="I47" s="2"/>
      <c r="L47" s="10"/>
    </row>
    <row r="48" spans="1:14" x14ac:dyDescent="0.3">
      <c r="D48" s="1"/>
      <c r="E48" s="1"/>
      <c r="F48" s="1" t="s">
        <v>19</v>
      </c>
      <c r="G48" s="1"/>
      <c r="H48" s="1"/>
      <c r="I48" s="2"/>
      <c r="L48" s="28"/>
    </row>
    <row r="49" spans="1:12" x14ac:dyDescent="0.3">
      <c r="E49" s="1"/>
      <c r="F49" s="1" t="s">
        <v>109</v>
      </c>
      <c r="G49" s="1"/>
      <c r="H49" s="1"/>
      <c r="I49" s="2"/>
      <c r="L49" s="10"/>
    </row>
    <row r="50" spans="1:12" ht="15.6" x14ac:dyDescent="0.3">
      <c r="A50" t="s">
        <v>127</v>
      </c>
      <c r="B50" s="1" t="s">
        <v>68</v>
      </c>
      <c r="C50" s="1" t="s">
        <v>131</v>
      </c>
      <c r="D50" s="29" t="s">
        <v>113</v>
      </c>
      <c r="E50" s="1"/>
      <c r="F50" s="1" t="s">
        <v>110</v>
      </c>
      <c r="G50" s="1"/>
      <c r="H50" s="1"/>
      <c r="I50" s="2"/>
      <c r="L50" s="10"/>
    </row>
    <row r="51" spans="1:12" ht="15.6" x14ac:dyDescent="0.3">
      <c r="A51" t="s">
        <v>75</v>
      </c>
      <c r="B51" s="29" t="s">
        <v>164</v>
      </c>
      <c r="C51" s="1">
        <v>0</v>
      </c>
      <c r="E51" s="1"/>
      <c r="F51" s="1" t="s">
        <v>21</v>
      </c>
      <c r="G51" s="1"/>
      <c r="H51" s="1"/>
      <c r="I51" s="2"/>
      <c r="L51" s="10"/>
    </row>
    <row r="52" spans="1:12" x14ac:dyDescent="0.3">
      <c r="A52" s="2" t="s">
        <v>18</v>
      </c>
      <c r="B52" s="3">
        <v>2000</v>
      </c>
      <c r="C52" s="1">
        <f>8*2</f>
        <v>16</v>
      </c>
      <c r="E52" s="1"/>
      <c r="F52" s="1" t="s">
        <v>25</v>
      </c>
      <c r="G52" s="1"/>
      <c r="H52" s="1"/>
      <c r="I52" s="2"/>
      <c r="L52" s="10"/>
    </row>
    <row r="53" spans="1:12" x14ac:dyDescent="0.3">
      <c r="A53" s="1" t="s">
        <v>19</v>
      </c>
      <c r="B53" s="3">
        <v>4500</v>
      </c>
      <c r="C53" s="1">
        <f>4*8</f>
        <v>32</v>
      </c>
      <c r="E53" s="1"/>
      <c r="F53" s="1" t="s">
        <v>75</v>
      </c>
      <c r="G53" s="1"/>
      <c r="H53" s="1"/>
      <c r="I53" s="2"/>
      <c r="L53" s="10"/>
    </row>
    <row r="54" spans="1:12" x14ac:dyDescent="0.3">
      <c r="A54" s="1" t="s">
        <v>109</v>
      </c>
      <c r="B54" s="3">
        <v>9500</v>
      </c>
      <c r="C54" s="1">
        <f>8*8</f>
        <v>64</v>
      </c>
      <c r="E54" s="1"/>
      <c r="F54" s="1"/>
      <c r="G54" s="1"/>
      <c r="H54" s="1"/>
      <c r="I54" s="2"/>
      <c r="L54" s="10"/>
    </row>
    <row r="55" spans="1:12" x14ac:dyDescent="0.3">
      <c r="A55" s="1" t="s">
        <v>110</v>
      </c>
      <c r="B55" s="3">
        <v>15000</v>
      </c>
      <c r="C55" s="1">
        <f>16*8</f>
        <v>128</v>
      </c>
      <c r="E55" s="1"/>
      <c r="F55" s="1"/>
      <c r="G55" s="1"/>
      <c r="H55" s="1"/>
      <c r="I55" s="2"/>
      <c r="L55" s="10"/>
    </row>
    <row r="56" spans="1:12" x14ac:dyDescent="0.3">
      <c r="A56" s="1" t="s">
        <v>21</v>
      </c>
      <c r="B56" s="3">
        <v>36000</v>
      </c>
      <c r="C56" s="1">
        <f>41*8</f>
        <v>328</v>
      </c>
      <c r="E56" s="1"/>
      <c r="F56" s="1"/>
      <c r="G56" s="1"/>
      <c r="H56" s="1"/>
      <c r="I56" s="2"/>
      <c r="K56" s="10"/>
    </row>
    <row r="57" spans="1:12" x14ac:dyDescent="0.3">
      <c r="A57" s="1" t="s">
        <v>25</v>
      </c>
      <c r="B57" s="3">
        <v>138000</v>
      </c>
      <c r="C57" s="1">
        <v>1300</v>
      </c>
      <c r="D57" t="s">
        <v>4</v>
      </c>
    </row>
    <row r="58" spans="1:12" ht="15.6" x14ac:dyDescent="0.3">
      <c r="D58" t="s">
        <v>63</v>
      </c>
      <c r="E58" t="s">
        <v>14</v>
      </c>
      <c r="F58" t="s">
        <v>75</v>
      </c>
      <c r="G58" t="s">
        <v>75</v>
      </c>
      <c r="H58" t="s">
        <v>75</v>
      </c>
      <c r="I58" t="s">
        <v>75</v>
      </c>
      <c r="J58" t="s">
        <v>64</v>
      </c>
      <c r="K58" t="s">
        <v>75</v>
      </c>
      <c r="L58" s="31" t="s">
        <v>113</v>
      </c>
    </row>
    <row r="59" spans="1:12" x14ac:dyDescent="0.3">
      <c r="D59" s="1" t="s">
        <v>125</v>
      </c>
      <c r="E59" s="1" t="s">
        <v>7</v>
      </c>
      <c r="F59" s="1" t="s">
        <v>41</v>
      </c>
      <c r="G59" s="1" t="s">
        <v>41</v>
      </c>
      <c r="H59" s="2" t="s">
        <v>18</v>
      </c>
      <c r="I59" s="2" t="s">
        <v>54</v>
      </c>
      <c r="J59" t="s">
        <v>129</v>
      </c>
      <c r="K59" s="10" t="s">
        <v>52</v>
      </c>
      <c r="L59">
        <v>2000</v>
      </c>
    </row>
    <row r="60" spans="1:12" x14ac:dyDescent="0.3">
      <c r="A60" t="s">
        <v>128</v>
      </c>
      <c r="B60" t="s">
        <v>68</v>
      </c>
      <c r="C60" t="s">
        <v>5</v>
      </c>
      <c r="D60" s="1" t="s">
        <v>10</v>
      </c>
      <c r="E60" s="1" t="s">
        <v>7</v>
      </c>
      <c r="F60" s="1" t="s">
        <v>42</v>
      </c>
      <c r="G60" s="1" t="s">
        <v>42</v>
      </c>
      <c r="H60" s="1" t="s">
        <v>19</v>
      </c>
      <c r="I60" s="1" t="s">
        <v>55</v>
      </c>
      <c r="J60" t="s">
        <v>130</v>
      </c>
      <c r="K60" s="10" t="s">
        <v>53</v>
      </c>
      <c r="L60">
        <v>7500</v>
      </c>
    </row>
    <row r="61" spans="1:12" ht="15.6" x14ac:dyDescent="0.3">
      <c r="A61" t="s">
        <v>75</v>
      </c>
      <c r="B61" s="29" t="s">
        <v>164</v>
      </c>
      <c r="C61" s="1">
        <v>0</v>
      </c>
      <c r="D61" s="1" t="s">
        <v>13</v>
      </c>
      <c r="E61" s="1" t="s">
        <v>6</v>
      </c>
      <c r="F61" s="1" t="s">
        <v>16</v>
      </c>
      <c r="G61" s="1" t="s">
        <v>16</v>
      </c>
      <c r="H61" s="1" t="s">
        <v>20</v>
      </c>
      <c r="I61" s="1" t="s">
        <v>53</v>
      </c>
      <c r="K61" s="10" t="s">
        <v>26</v>
      </c>
      <c r="L61">
        <v>20000</v>
      </c>
    </row>
    <row r="62" spans="1:12" x14ac:dyDescent="0.3">
      <c r="A62" s="2" t="s">
        <v>18</v>
      </c>
      <c r="B62" s="30">
        <v>1500</v>
      </c>
      <c r="C62">
        <f t="shared" ref="C62" si="2">1*8</f>
        <v>8</v>
      </c>
      <c r="D62" s="1" t="s">
        <v>11</v>
      </c>
      <c r="E62" s="1" t="s">
        <v>6</v>
      </c>
      <c r="F62" s="1" t="s">
        <v>17</v>
      </c>
      <c r="G62" s="1" t="s">
        <v>17</v>
      </c>
      <c r="H62" s="1" t="s">
        <v>21</v>
      </c>
      <c r="I62" s="1" t="s">
        <v>56</v>
      </c>
      <c r="K62" s="10" t="s">
        <v>27</v>
      </c>
      <c r="L62">
        <v>50000</v>
      </c>
    </row>
    <row r="63" spans="1:12" x14ac:dyDescent="0.3">
      <c r="A63" s="1" t="s">
        <v>19</v>
      </c>
      <c r="B63" s="30">
        <v>3500</v>
      </c>
      <c r="C63">
        <f>3*8</f>
        <v>24</v>
      </c>
      <c r="D63" s="1" t="s">
        <v>46</v>
      </c>
      <c r="E63" s="1" t="s">
        <v>6</v>
      </c>
      <c r="F63" s="2" t="s">
        <v>18</v>
      </c>
      <c r="G63" s="1"/>
      <c r="H63" s="1" t="s">
        <v>22</v>
      </c>
      <c r="I63" s="1"/>
    </row>
    <row r="64" spans="1:12" x14ac:dyDescent="0.3">
      <c r="A64" s="1" t="s">
        <v>109</v>
      </c>
      <c r="B64" s="30">
        <v>6500</v>
      </c>
      <c r="C64">
        <f>6*8</f>
        <v>48</v>
      </c>
      <c r="D64" s="1" t="s">
        <v>47</v>
      </c>
      <c r="E64" s="1" t="s">
        <v>45</v>
      </c>
      <c r="F64" s="1" t="s">
        <v>19</v>
      </c>
      <c r="G64" s="1"/>
      <c r="H64" s="1"/>
    </row>
    <row r="65" spans="1:6" x14ac:dyDescent="0.3">
      <c r="A65" s="1" t="s">
        <v>110</v>
      </c>
      <c r="B65" s="30">
        <v>12000</v>
      </c>
      <c r="C65">
        <f>12*8</f>
        <v>96</v>
      </c>
      <c r="D65" s="1" t="s">
        <v>48</v>
      </c>
      <c r="E65" s="1" t="s">
        <v>45</v>
      </c>
      <c r="F65" s="1" t="s">
        <v>20</v>
      </c>
    </row>
    <row r="66" spans="1:6" x14ac:dyDescent="0.3">
      <c r="A66" s="1" t="s">
        <v>21</v>
      </c>
      <c r="B66" s="30">
        <v>30000</v>
      </c>
      <c r="C66">
        <f>30*8</f>
        <v>240</v>
      </c>
      <c r="F66" s="1" t="s">
        <v>21</v>
      </c>
    </row>
    <row r="67" spans="1:6" x14ac:dyDescent="0.3">
      <c r="A67" s="1" t="s">
        <v>25</v>
      </c>
      <c r="B67" s="30">
        <v>75000</v>
      </c>
      <c r="C67">
        <f>85*8</f>
        <v>680</v>
      </c>
      <c r="F67" s="1" t="s">
        <v>25</v>
      </c>
    </row>
    <row r="68" spans="1:6" x14ac:dyDescent="0.3">
      <c r="F68" s="1"/>
    </row>
    <row r="69" spans="1:6" x14ac:dyDescent="0.3">
      <c r="A69" t="s">
        <v>13</v>
      </c>
      <c r="B69" t="s">
        <v>68</v>
      </c>
      <c r="C69" t="s">
        <v>5</v>
      </c>
      <c r="F69" s="1"/>
    </row>
    <row r="70" spans="1:6" ht="15.6" x14ac:dyDescent="0.3">
      <c r="A70" t="s">
        <v>75</v>
      </c>
      <c r="B70" s="29" t="s">
        <v>164</v>
      </c>
      <c r="C70" s="1">
        <v>0</v>
      </c>
    </row>
    <row r="71" spans="1:6" x14ac:dyDescent="0.3">
      <c r="A71" s="1" t="s">
        <v>132</v>
      </c>
      <c r="B71" s="30">
        <v>4000</v>
      </c>
      <c r="C71">
        <f>8*4</f>
        <v>32</v>
      </c>
      <c r="E71" s="47"/>
    </row>
    <row r="72" spans="1:6" x14ac:dyDescent="0.3">
      <c r="A72" s="1" t="s">
        <v>133</v>
      </c>
      <c r="B72" s="30">
        <v>9000</v>
      </c>
      <c r="C72">
        <f>10*8</f>
        <v>80</v>
      </c>
    </row>
    <row r="73" spans="1:6" x14ac:dyDescent="0.3">
      <c r="A73" s="1" t="s">
        <v>134</v>
      </c>
      <c r="B73" s="30">
        <v>19000</v>
      </c>
      <c r="C73">
        <f>20*8</f>
        <v>160</v>
      </c>
    </row>
    <row r="74" spans="1:6" x14ac:dyDescent="0.3">
      <c r="A74" s="1" t="s">
        <v>140</v>
      </c>
      <c r="B74" s="30">
        <v>42000</v>
      </c>
      <c r="C74">
        <f>49*8</f>
        <v>392</v>
      </c>
    </row>
    <row r="75" spans="1:6" x14ac:dyDescent="0.3">
      <c r="A75" s="1" t="s">
        <v>135</v>
      </c>
      <c r="B75" s="30">
        <v>80000</v>
      </c>
      <c r="C75">
        <f>98*8</f>
        <v>784</v>
      </c>
    </row>
    <row r="76" spans="1:6" x14ac:dyDescent="0.3">
      <c r="A76" s="1" t="s">
        <v>136</v>
      </c>
      <c r="B76" s="30">
        <v>125000</v>
      </c>
      <c r="C76">
        <f>147*8</f>
        <v>1176</v>
      </c>
    </row>
    <row r="78" spans="1:6" x14ac:dyDescent="0.3">
      <c r="A78" t="s">
        <v>11</v>
      </c>
      <c r="B78" t="s">
        <v>68</v>
      </c>
      <c r="C78" t="s">
        <v>5</v>
      </c>
    </row>
    <row r="79" spans="1:6" ht="15.6" x14ac:dyDescent="0.3">
      <c r="A79" t="s">
        <v>75</v>
      </c>
      <c r="B79" s="29" t="s">
        <v>164</v>
      </c>
      <c r="C79" s="1">
        <v>0</v>
      </c>
    </row>
    <row r="80" spans="1:6" x14ac:dyDescent="0.3">
      <c r="A80" s="1" t="s">
        <v>132</v>
      </c>
      <c r="B80" s="30">
        <v>2500</v>
      </c>
      <c r="C80">
        <f>2*8</f>
        <v>16</v>
      </c>
    </row>
    <row r="81" spans="1:3" x14ac:dyDescent="0.3">
      <c r="A81" s="1" t="s">
        <v>133</v>
      </c>
      <c r="B81" s="30">
        <v>6000</v>
      </c>
      <c r="C81">
        <f>6*8</f>
        <v>48</v>
      </c>
    </row>
    <row r="82" spans="1:3" x14ac:dyDescent="0.3">
      <c r="A82" s="1" t="s">
        <v>134</v>
      </c>
      <c r="B82" s="30">
        <v>11000</v>
      </c>
      <c r="C82">
        <f>12*8</f>
        <v>96</v>
      </c>
    </row>
    <row r="83" spans="1:3" x14ac:dyDescent="0.3">
      <c r="A83" s="1" t="s">
        <v>140</v>
      </c>
      <c r="B83" s="30">
        <v>25000</v>
      </c>
      <c r="C83">
        <f>30*8</f>
        <v>240</v>
      </c>
    </row>
    <row r="84" spans="1:3" x14ac:dyDescent="0.3">
      <c r="A84" s="1" t="s">
        <v>135</v>
      </c>
      <c r="B84" s="30">
        <v>49000</v>
      </c>
      <c r="C84">
        <f>60*8</f>
        <v>480</v>
      </c>
    </row>
    <row r="85" spans="1:3" x14ac:dyDescent="0.3">
      <c r="A85" s="1" t="s">
        <v>136</v>
      </c>
      <c r="B85" s="30">
        <v>83000</v>
      </c>
      <c r="C85">
        <f>90*8</f>
        <v>720</v>
      </c>
    </row>
    <row r="88" spans="1:3" x14ac:dyDescent="0.3">
      <c r="A88" t="s">
        <v>142</v>
      </c>
      <c r="B88" t="s">
        <v>68</v>
      </c>
      <c r="C88" t="s">
        <v>5</v>
      </c>
    </row>
    <row r="89" spans="1:3" ht="15.6" x14ac:dyDescent="0.3">
      <c r="A89" t="s">
        <v>75</v>
      </c>
      <c r="B89" s="29" t="s">
        <v>164</v>
      </c>
      <c r="C89" s="1">
        <v>0</v>
      </c>
    </row>
    <row r="90" spans="1:3" x14ac:dyDescent="0.3">
      <c r="A90" s="1" t="s">
        <v>132</v>
      </c>
      <c r="B90" s="30">
        <v>7500</v>
      </c>
      <c r="C90">
        <f>7*8</f>
        <v>56</v>
      </c>
    </row>
    <row r="91" spans="1:3" x14ac:dyDescent="0.3">
      <c r="A91" s="1" t="s">
        <v>133</v>
      </c>
      <c r="B91" s="30">
        <v>15000</v>
      </c>
      <c r="C91">
        <f>15*8</f>
        <v>120</v>
      </c>
    </row>
    <row r="92" spans="1:3" x14ac:dyDescent="0.3">
      <c r="A92" s="1" t="s">
        <v>134</v>
      </c>
      <c r="B92" s="30">
        <v>45000</v>
      </c>
      <c r="C92">
        <f>50*8</f>
        <v>400</v>
      </c>
    </row>
    <row r="93" spans="1:3" x14ac:dyDescent="0.3">
      <c r="A93" s="1" t="s">
        <v>140</v>
      </c>
      <c r="B93" s="30">
        <v>55000</v>
      </c>
      <c r="C93">
        <f>112*8</f>
        <v>896</v>
      </c>
    </row>
    <row r="94" spans="1:3" x14ac:dyDescent="0.3">
      <c r="A94" s="1" t="s">
        <v>135</v>
      </c>
      <c r="B94" s="30">
        <v>80000</v>
      </c>
      <c r="C94">
        <f>223*8</f>
        <v>1784</v>
      </c>
    </row>
    <row r="95" spans="1:3" x14ac:dyDescent="0.3">
      <c r="A95" s="1" t="s">
        <v>136</v>
      </c>
      <c r="B95" s="30">
        <v>400000</v>
      </c>
      <c r="C95">
        <f>450*8</f>
        <v>3600</v>
      </c>
    </row>
    <row r="98" spans="1:3" x14ac:dyDescent="0.3">
      <c r="A98" t="s">
        <v>143</v>
      </c>
      <c r="B98" t="s">
        <v>68</v>
      </c>
      <c r="C98" t="s">
        <v>5</v>
      </c>
    </row>
    <row r="99" spans="1:3" ht="15.6" x14ac:dyDescent="0.3">
      <c r="A99" t="s">
        <v>75</v>
      </c>
      <c r="B99" s="29" t="s">
        <v>164</v>
      </c>
      <c r="C99" s="1">
        <v>0</v>
      </c>
    </row>
    <row r="100" spans="1:3" x14ac:dyDescent="0.3">
      <c r="A100" s="1" t="s">
        <v>52</v>
      </c>
      <c r="B100" s="30">
        <v>1500</v>
      </c>
      <c r="C100">
        <v>8</v>
      </c>
    </row>
    <row r="101" spans="1:3" x14ac:dyDescent="0.3">
      <c r="A101" s="1" t="s">
        <v>53</v>
      </c>
      <c r="B101" s="30">
        <v>3500</v>
      </c>
      <c r="C101">
        <f>8*4</f>
        <v>32</v>
      </c>
    </row>
    <row r="102" spans="1:3" x14ac:dyDescent="0.3">
      <c r="A102" s="1" t="s">
        <v>26</v>
      </c>
      <c r="B102" s="30">
        <v>7500</v>
      </c>
      <c r="C102">
        <f>8*8</f>
        <v>64</v>
      </c>
    </row>
    <row r="103" spans="1:3" x14ac:dyDescent="0.3">
      <c r="A103" s="1" t="s">
        <v>27</v>
      </c>
      <c r="B103" s="30">
        <v>15000</v>
      </c>
      <c r="C103">
        <f>8*14</f>
        <v>112</v>
      </c>
    </row>
    <row r="104" spans="1:3" x14ac:dyDescent="0.3">
      <c r="A104" s="1"/>
    </row>
    <row r="105" spans="1:3" x14ac:dyDescent="0.3">
      <c r="A105" s="1"/>
    </row>
  </sheetData>
  <phoneticPr fontId="6" type="noConversion"/>
  <pageMargins left="0.7" right="0.7" top="0.75" bottom="0.75" header="0.3" footer="0.3"/>
  <pageSetup orientation="portrait" verticalDpi="0" r:id="rId1"/>
  <ignoredErrors>
    <ignoredError sqref="C70:C76 C61:C67" calculatedColumn="1"/>
  </ignoredErrors>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6"/>
  <sheetViews>
    <sheetView zoomScale="162" zoomScaleNormal="162" workbookViewId="0">
      <selection activeCell="B7" sqref="B7"/>
    </sheetView>
  </sheetViews>
  <sheetFormatPr defaultRowHeight="14.4" x14ac:dyDescent="0.3"/>
  <cols>
    <col min="1" max="1" width="34.5546875" style="62" customWidth="1"/>
    <col min="2" max="2" width="129" style="59" customWidth="1"/>
  </cols>
  <sheetData>
    <row r="1" spans="1:2" x14ac:dyDescent="0.3">
      <c r="A1" s="58" t="s">
        <v>154</v>
      </c>
    </row>
    <row r="2" spans="1:2" x14ac:dyDescent="0.3">
      <c r="A2" s="60" t="s">
        <v>152</v>
      </c>
      <c r="B2" s="60" t="s">
        <v>153</v>
      </c>
    </row>
    <row r="3" spans="1:2" x14ac:dyDescent="0.3">
      <c r="A3" s="61" t="s">
        <v>82</v>
      </c>
      <c r="B3" s="61" t="s">
        <v>83</v>
      </c>
    </row>
    <row r="4" spans="1:2" ht="24" x14ac:dyDescent="0.3">
      <c r="A4" s="61" t="s">
        <v>84</v>
      </c>
      <c r="B4" s="61" t="s">
        <v>104</v>
      </c>
    </row>
    <row r="5" spans="1:2" ht="24" x14ac:dyDescent="0.3">
      <c r="A5" s="61" t="s">
        <v>85</v>
      </c>
      <c r="B5" s="61" t="s">
        <v>105</v>
      </c>
    </row>
    <row r="6" spans="1:2" x14ac:dyDescent="0.3">
      <c r="A6" s="61" t="s">
        <v>86</v>
      </c>
      <c r="B6" s="61" t="s">
        <v>87</v>
      </c>
    </row>
    <row r="7" spans="1:2" x14ac:dyDescent="0.3">
      <c r="A7" s="61" t="s">
        <v>88</v>
      </c>
      <c r="B7" s="61" t="s">
        <v>89</v>
      </c>
    </row>
    <row r="8" spans="1:2" x14ac:dyDescent="0.3">
      <c r="A8" s="61" t="s">
        <v>90</v>
      </c>
      <c r="B8" s="61" t="s">
        <v>91</v>
      </c>
    </row>
    <row r="9" spans="1:2" ht="24" x14ac:dyDescent="0.3">
      <c r="A9" s="61" t="s">
        <v>92</v>
      </c>
      <c r="B9" s="61" t="s">
        <v>106</v>
      </c>
    </row>
    <row r="10" spans="1:2" x14ac:dyDescent="0.3">
      <c r="A10" s="61" t="s">
        <v>93</v>
      </c>
      <c r="B10" s="61" t="s">
        <v>94</v>
      </c>
    </row>
    <row r="11" spans="1:2" x14ac:dyDescent="0.3">
      <c r="A11" s="61" t="s">
        <v>95</v>
      </c>
      <c r="B11" s="61" t="s">
        <v>96</v>
      </c>
    </row>
    <row r="12" spans="1:2" ht="36" x14ac:dyDescent="0.3">
      <c r="A12" s="61" t="s">
        <v>97</v>
      </c>
      <c r="B12" s="61" t="s">
        <v>107</v>
      </c>
    </row>
    <row r="13" spans="1:2" ht="36" x14ac:dyDescent="0.3">
      <c r="A13" s="61" t="s">
        <v>98</v>
      </c>
      <c r="B13" s="61" t="s">
        <v>108</v>
      </c>
    </row>
    <row r="14" spans="1:2" x14ac:dyDescent="0.3">
      <c r="A14" s="61" t="s">
        <v>99</v>
      </c>
      <c r="B14" s="61" t="s">
        <v>100</v>
      </c>
    </row>
    <row r="15" spans="1:2" x14ac:dyDescent="0.3">
      <c r="A15" s="61" t="s">
        <v>46</v>
      </c>
      <c r="B15" s="61" t="s">
        <v>101</v>
      </c>
    </row>
    <row r="16" spans="1:2" x14ac:dyDescent="0.3">
      <c r="A16" s="61" t="s">
        <v>102</v>
      </c>
      <c r="B16" s="61" t="s">
        <v>103</v>
      </c>
    </row>
  </sheetData>
  <sheetProtection algorithmName="SHA-512" hashValue="GH8n4XNacEAJWZg9DXBL2FeGdHYHDYtIXINjIMJ0PumtfXfEbxL6xCy8xOwvRKjG9ng0bm+mYhzsgJaNfJFK8g==" saltValue="LAxttCp2lVkK1+26yIHUaQ==" spinCount="100000" sheet="1" objects="1" scenarios="1"/>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78093e2-3f3f-489f-ac38-b144f2858624">RA325732QEHQ-421285908-275</_dlc_DocId>
    <_dlc_DocIdUrl xmlns="878093e2-3f3f-489f-ac38-b144f2858624">
      <Url>http://partnerweb/sites/HWTR/PCBsBldgProd/_layouts/15/DocIdRedir.aspx?ID=RA325732QEHQ-421285908-275</Url>
      <Description>RA325732QEHQ-421285908-275</Description>
    </_dlc_DocIdUrl>
  </documentManagement>
</p:properties>
</file>

<file path=customXml/item2.xml>��< ? x m l   v e r s i o n = " 1 . 0 "   e n c o d i n g = " u t f - 1 6 " ? > < D a t a M a s h u p   x m l n s = " h t t p : / / s c h e m a s . m i c r o s o f t . c o m / D a t a M a s h u p " > A A A A A B Q D A A B Q S w M E F A A C A A g A i o L C V A N 4 j Q + k A A A A 9 g A A A B I A H A B D b 2 5 m a W c v U G F j a 2 F n Z S 5 4 b W w g o h g A K K A U A A A A A A A A A A A A A A A A A A A A A A A A A A A A h Y 8 x D o I w G I W v Q r r T l q K J I a U M r p K Y E I 1 r U y o 0 w o + h x X I 3 B 4 / k F c Q o 6 u b 4 v v c N 7 9 2 v N 5 6 N b R N c d G 9 N B y m K M E W B B t W V B q o U D e 4 Y r l A m + F a q k 6 x 0 M M l g k 9 G W K a q d O y e E e O + x j 3 H X V 4 R R G p F D v i l U r V u J P r L 5 L 4 c G r J O g N B J 8 / x o j G I 7 o E s c L h i k n M + S 5 g a / A p r 3 P 9 g f y 9 d C 4 o d d C Q 7 g r O J k j J + 8 P 4 g F Q S w M E F A A C A A g A i o L C 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q C w l Q o i k e 4 D g A A A B E A A A A T A B w A R m 9 y b X V s Y X M v U 2 V j d G l v b j E u b S C i G A A o o B Q A A A A A A A A A A A A A A A A A A A A A A A A A A A A r T k 0 u y c z P U w i G 0 I b W A F B L A Q I t A B Q A A g A I A I q C w l Q D e I 0 P p A A A A P Y A A A A S A A A A A A A A A A A A A A A A A A A A A A B D b 2 5 m a W c v U G F j a 2 F n Z S 5 4 b W x Q S w E C L Q A U A A I A C A C K g s J U D 8 r p q 6 Q A A A D p A A A A E w A A A A A A A A A A A A A A A A D w A A A A W 0 N v b n R l b n R f V H l w Z X N d L n h t b F B L A Q I t A B Q A A g A I A I q C w 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3 Y T f w m j 9 1 T Z H y 3 v K T R h n 4 A A A A A A I A A A A A A A N m A A D A A A A A E A A A A O o C v u l r / z N O j q J x U l K G o G w A A A A A B I A A A K A A A A A Q A A A A n A Q V T p A m D U n F k W S + E Y V F Z l A A A A A f 2 j 7 y V I b m v t o 3 x N w G l H o h G t z K e l b M c S N G m x T t b B 8 C E 6 G J k 8 F N s N I T Z 7 0 U b 5 y c / m C z b u P S d L / o e z w Y 7 O s 1 8 v i 4 7 k p T V 1 3 c L U 3 w C F E i N B i g H B Q A A A B I k g K U 7 l m G Q L 8 I 6 U C j 1 e x R 4 h N W d 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1036D89067CFEC4D94B2D064F5547D05" ma:contentTypeVersion="2" ma:contentTypeDescription="Create a new document." ma:contentTypeScope="" ma:versionID="e21acd92279c0904a21624cc0fa57548">
  <xsd:schema xmlns:xsd="http://www.w3.org/2001/XMLSchema" xmlns:xs="http://www.w3.org/2001/XMLSchema" xmlns:p="http://schemas.microsoft.com/office/2006/metadata/properties" xmlns:ns2="878093e2-3f3f-489f-ac38-b144f2858624" xmlns:ns3="fa3c795a-5718-484a-8373-f254305088c4" targetNamespace="http://schemas.microsoft.com/office/2006/metadata/properties" ma:root="true" ma:fieldsID="bf1caf78a09c4c975f122fb55781efaa" ns2:_="" ns3:_="">
    <xsd:import namespace="878093e2-3f3f-489f-ac38-b144f2858624"/>
    <xsd:import namespace="fa3c795a-5718-484a-8373-f254305088c4"/>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8093e2-3f3f-489f-ac38-b144f28586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3c795a-5718-484a-8373-f254305088c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0D0364-969E-4E9E-985C-B04925FBDDC0}">
  <ds:schemaRefs>
    <ds:schemaRef ds:uri="http://purl.org/dc/elements/1.1/"/>
    <ds:schemaRef ds:uri="fa3c795a-5718-484a-8373-f254305088c4"/>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878093e2-3f3f-489f-ac38-b144f2858624"/>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00D0EF9-C7FC-4CED-B282-26D8206200AC}">
  <ds:schemaRefs>
    <ds:schemaRef ds:uri="http://schemas.microsoft.com/DataMashup"/>
  </ds:schemaRefs>
</ds:datastoreItem>
</file>

<file path=customXml/itemProps3.xml><?xml version="1.0" encoding="utf-8"?>
<ds:datastoreItem xmlns:ds="http://schemas.openxmlformats.org/officeDocument/2006/customXml" ds:itemID="{35F2A3E8-F41F-4B0C-ACF5-B7DC059C04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8093e2-3f3f-489f-ac38-b144f2858624"/>
    <ds:schemaRef ds:uri="fa3c795a-5718-484a-8373-f2543050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D80E485-DB5C-45AD-846A-F03D80ED0D2C}">
  <ds:schemaRefs>
    <ds:schemaRef ds:uri="http://schemas.microsoft.com/sharepoint/events"/>
  </ds:schemaRefs>
</ds:datastoreItem>
</file>

<file path=customXml/itemProps5.xml><?xml version="1.0" encoding="utf-8"?>
<ds:datastoreItem xmlns:ds="http://schemas.openxmlformats.org/officeDocument/2006/customXml" ds:itemID="{2A5B89BD-9DF1-4CA6-8B78-605D9702B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 Page</vt:lpstr>
      <vt:lpstr>PCB Cost Analysis Worksheet</vt:lpstr>
      <vt:lpstr>Tables</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PCB Cost Estimate Worksheet</dc:title>
  <dc:subject>Supplement to publication 22-04-036. A worksheet building owners and contractors can use to estimate the costs of PCB abatement work.</dc:subject>
  <dc:creator>Allison Lewis</dc:creator>
  <cp:keywords>PCBs; cost analysis; cost estimates; buildng materials</cp:keywords>
  <cp:lastModifiedBy>Falls, Autumn (ECY)</cp:lastModifiedBy>
  <cp:lastPrinted>2022-08-18T23:23:11Z</cp:lastPrinted>
  <dcterms:created xsi:type="dcterms:W3CDTF">2022-04-19T19:26:39Z</dcterms:created>
  <dcterms:modified xsi:type="dcterms:W3CDTF">2022-08-19T16:40:06Z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0x0101001036D89067CFEC4D94B2D064F5547D05</vt:lpwstr>
  </property>
  <property fmtid="{D5CDD505-2E9C-101B-9397-08002B2CF9AE}" pid="3" name="_dlc_DocIdItemGuid">
    <vt:lpwstr>379efe0f-a7d7-41f6-a79c-82e754641ec0</vt:lpwstr>
  </property>
</Properties>
</file>