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_STREAMFLOW\Ingria\WRIA 7 Technical Workgroup\Growth Estimates\"/>
    </mc:Choice>
  </mc:AlternateContent>
  <bookViews>
    <workbookView xWindow="0" yWindow="0" windowWidth="18660" windowHeight="8715"/>
  </bookViews>
  <sheets>
    <sheet name="Summary" sheetId="1" r:id="rId1"/>
    <sheet name="King Co Data" sheetId="2" r:id="rId2"/>
    <sheet name="Sno Co Data" sheetId="5" r:id="rId3"/>
    <sheet name="UGA Spot Check" sheetId="4" r:id="rId4"/>
  </sheets>
  <definedNames>
    <definedName name="_xlnm.Print_Area" localSheetId="1">'King Co Data'!$A$1:$O$28</definedName>
    <definedName name="_xlnm.Print_Area" localSheetId="0">Summary!$A$1:$G$54</definedName>
    <definedName name="_xlnm.Print_Area" localSheetId="3">'UGA Spot Check'!$A$1:$J$18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3" i="2" l="1"/>
  <c r="W24" i="5" l="1"/>
  <c r="V24" i="5"/>
  <c r="T24" i="5"/>
  <c r="S24" i="5"/>
  <c r="W23" i="5"/>
  <c r="V23" i="5"/>
  <c r="T23" i="5"/>
  <c r="S23" i="5"/>
  <c r="W22" i="5"/>
  <c r="V22" i="5"/>
  <c r="T22" i="5"/>
  <c r="S22" i="5"/>
  <c r="W21" i="5"/>
  <c r="V21" i="5"/>
  <c r="T21" i="5"/>
  <c r="S21" i="5"/>
  <c r="W20" i="5"/>
  <c r="V20" i="5"/>
  <c r="T20" i="5"/>
  <c r="S20" i="5"/>
  <c r="W19" i="5"/>
  <c r="V19" i="5"/>
  <c r="T19" i="5"/>
  <c r="S19" i="5"/>
  <c r="W18" i="5"/>
  <c r="V18" i="5"/>
  <c r="T18" i="5"/>
  <c r="S18" i="5"/>
  <c r="W17" i="5"/>
  <c r="V17" i="5"/>
  <c r="T17" i="5"/>
  <c r="S17" i="5"/>
  <c r="W16" i="5"/>
  <c r="V16" i="5"/>
  <c r="T16" i="5"/>
  <c r="S16" i="5"/>
  <c r="W15" i="5"/>
  <c r="V15" i="5"/>
  <c r="T15" i="5"/>
  <c r="S15" i="5"/>
  <c r="W14" i="5"/>
  <c r="V14" i="5"/>
  <c r="T14" i="5"/>
  <c r="S14" i="5"/>
  <c r="W13" i="5"/>
  <c r="V13" i="5"/>
  <c r="T13" i="5"/>
  <c r="S13" i="5"/>
  <c r="W12" i="5"/>
  <c r="V12" i="5"/>
  <c r="T12" i="5"/>
  <c r="S12" i="5"/>
  <c r="W11" i="5"/>
  <c r="V11" i="5"/>
  <c r="T11" i="5"/>
  <c r="S11" i="5"/>
  <c r="W10" i="5"/>
  <c r="V10" i="5"/>
  <c r="T10" i="5"/>
  <c r="S10" i="5"/>
  <c r="W9" i="5"/>
  <c r="V9" i="5"/>
  <c r="T9" i="5"/>
  <c r="S9" i="5"/>
  <c r="W8" i="5"/>
  <c r="V8" i="5"/>
  <c r="T8" i="5"/>
  <c r="S8" i="5"/>
  <c r="W7" i="5"/>
  <c r="V7" i="5"/>
  <c r="T7" i="5"/>
  <c r="S7" i="5"/>
  <c r="W6" i="5"/>
  <c r="V6" i="5"/>
  <c r="T6" i="5"/>
  <c r="S6" i="5"/>
  <c r="W5" i="5"/>
  <c r="V5" i="5"/>
  <c r="T5" i="5"/>
  <c r="S5" i="5"/>
  <c r="K25" i="5" l="1"/>
  <c r="J25" i="5"/>
  <c r="I25" i="5"/>
  <c r="H25" i="5"/>
  <c r="G25" i="5"/>
  <c r="F25" i="5"/>
  <c r="F24" i="1" l="1"/>
  <c r="F25" i="1"/>
  <c r="F26" i="1"/>
  <c r="F27" i="1"/>
  <c r="F28" i="1"/>
  <c r="F29" i="1"/>
  <c r="F30" i="1"/>
  <c r="F31" i="1"/>
  <c r="F32" i="1"/>
  <c r="F33" i="1"/>
  <c r="F34" i="1"/>
  <c r="F35" i="1"/>
  <c r="F36" i="1"/>
  <c r="F37" i="1"/>
  <c r="F38" i="1"/>
  <c r="F39" i="1"/>
  <c r="F40" i="1"/>
  <c r="F41" i="1"/>
  <c r="F42" i="1"/>
  <c r="F23" i="1"/>
  <c r="F7" i="1"/>
  <c r="F8" i="1"/>
  <c r="F9" i="1"/>
  <c r="F10" i="1"/>
  <c r="F11" i="1"/>
  <c r="F12" i="1"/>
  <c r="F13" i="1"/>
  <c r="F14" i="1"/>
  <c r="F15" i="1"/>
  <c r="F16" i="1"/>
  <c r="F17" i="1"/>
  <c r="F18" i="1"/>
  <c r="F19" i="1"/>
  <c r="F20" i="1"/>
  <c r="F21" i="1"/>
  <c r="F6" i="1"/>
  <c r="X9" i="5"/>
  <c r="F24" i="4"/>
  <c r="F23" i="4"/>
  <c r="G60" i="4"/>
  <c r="F41" i="4"/>
  <c r="F42" i="4"/>
  <c r="F43" i="4"/>
  <c r="F44" i="4"/>
  <c r="F45" i="4"/>
  <c r="F46" i="4"/>
  <c r="F47" i="4"/>
  <c r="F48" i="4"/>
  <c r="F49" i="4"/>
  <c r="F50" i="4"/>
  <c r="F51" i="4"/>
  <c r="F52" i="4"/>
  <c r="F53" i="4"/>
  <c r="F54" i="4"/>
  <c r="F55" i="4"/>
  <c r="F56" i="4"/>
  <c r="F57" i="4"/>
  <c r="F58" i="4"/>
  <c r="F59" i="4"/>
  <c r="F40" i="4"/>
  <c r="F25" i="4"/>
  <c r="F26" i="4"/>
  <c r="F27" i="4"/>
  <c r="F28" i="4"/>
  <c r="F29" i="4"/>
  <c r="F30" i="4"/>
  <c r="F31" i="4"/>
  <c r="F32" i="4"/>
  <c r="F33" i="4"/>
  <c r="F34" i="4"/>
  <c r="F35" i="4"/>
  <c r="F36" i="4"/>
  <c r="F37" i="4"/>
  <c r="F38" i="4"/>
  <c r="D7" i="4"/>
  <c r="E7" i="4"/>
  <c r="E8" i="4" s="1"/>
  <c r="F7" i="4"/>
  <c r="F8" i="4" s="1"/>
  <c r="G7" i="4"/>
  <c r="G8" i="4" s="1"/>
  <c r="G10" i="4" s="1"/>
  <c r="H7" i="4"/>
  <c r="H8" i="4" s="1"/>
  <c r="H10" i="4" s="1"/>
  <c r="C7" i="4"/>
  <c r="F10" i="4" s="1"/>
  <c r="D60" i="4"/>
  <c r="C60" i="4"/>
  <c r="E59" i="4"/>
  <c r="E58" i="4"/>
  <c r="E57" i="4"/>
  <c r="E56" i="4"/>
  <c r="E55" i="4"/>
  <c r="E54" i="4"/>
  <c r="E53" i="4"/>
  <c r="E52" i="4"/>
  <c r="E51" i="4"/>
  <c r="E50" i="4"/>
  <c r="E49" i="4"/>
  <c r="E48" i="4"/>
  <c r="E47" i="4"/>
  <c r="E46" i="4"/>
  <c r="E45" i="4"/>
  <c r="E44" i="4"/>
  <c r="E43" i="4"/>
  <c r="E42" i="4"/>
  <c r="E41" i="4"/>
  <c r="E40" i="4"/>
  <c r="E38" i="4"/>
  <c r="E37" i="4"/>
  <c r="E36" i="4"/>
  <c r="E35" i="4"/>
  <c r="E34" i="4"/>
  <c r="E33" i="4"/>
  <c r="E32" i="4"/>
  <c r="E31" i="4"/>
  <c r="E30" i="4"/>
  <c r="E29" i="4"/>
  <c r="E28" i="4"/>
  <c r="E27" i="4"/>
  <c r="E26" i="4"/>
  <c r="E25" i="4"/>
  <c r="E24" i="4"/>
  <c r="E23" i="4"/>
  <c r="X6" i="5"/>
  <c r="C36" i="2"/>
  <c r="K36" i="2" s="1"/>
  <c r="C37" i="2"/>
  <c r="C38" i="2"/>
  <c r="C39" i="2"/>
  <c r="C40" i="2"/>
  <c r="C41" i="2"/>
  <c r="C42" i="2"/>
  <c r="K42" i="2" s="1"/>
  <c r="C43" i="2"/>
  <c r="K43" i="2" s="1"/>
  <c r="C45" i="2"/>
  <c r="C46" i="2"/>
  <c r="C47" i="2"/>
  <c r="C48" i="2"/>
  <c r="C49" i="2"/>
  <c r="C50" i="2"/>
  <c r="C35" i="2"/>
  <c r="O51" i="2"/>
  <c r="I50" i="2"/>
  <c r="H50" i="2"/>
  <c r="I49" i="2"/>
  <c r="H49" i="2"/>
  <c r="I48" i="2"/>
  <c r="H48" i="2"/>
  <c r="I47" i="2"/>
  <c r="H47" i="2"/>
  <c r="I46" i="2"/>
  <c r="H46" i="2"/>
  <c r="I45" i="2"/>
  <c r="H45" i="2"/>
  <c r="G44" i="2"/>
  <c r="G51" i="2" s="1"/>
  <c r="F44" i="2"/>
  <c r="F51" i="2" s="1"/>
  <c r="E44" i="2"/>
  <c r="E51" i="2" s="1"/>
  <c r="B44" i="2"/>
  <c r="C44" i="2" s="1"/>
  <c r="K44" i="2" s="1"/>
  <c r="I43" i="2"/>
  <c r="H43" i="2"/>
  <c r="I42" i="2"/>
  <c r="H42" i="2"/>
  <c r="I41" i="2"/>
  <c r="H41" i="2"/>
  <c r="I40" i="2"/>
  <c r="H40" i="2"/>
  <c r="I39" i="2"/>
  <c r="H39" i="2"/>
  <c r="I38" i="2"/>
  <c r="H38" i="2"/>
  <c r="I37" i="2"/>
  <c r="H37" i="2"/>
  <c r="I36" i="2"/>
  <c r="H36" i="2"/>
  <c r="I35" i="2"/>
  <c r="H35" i="2"/>
  <c r="L32" i="2"/>
  <c r="K37" i="2" s="1"/>
  <c r="C19" i="2"/>
  <c r="C20" i="2" s="1"/>
  <c r="B19" i="2"/>
  <c r="B20" i="2" s="1"/>
  <c r="C14" i="2"/>
  <c r="B14" i="2"/>
  <c r="L36" i="2" l="1"/>
  <c r="M36" i="2" s="1"/>
  <c r="N36" i="2" s="1"/>
  <c r="L43" i="2"/>
  <c r="M43" i="2" s="1"/>
  <c r="N43" i="2" s="1"/>
  <c r="C51" i="2"/>
  <c r="K49" i="2"/>
  <c r="L49" i="2" s="1"/>
  <c r="M49" i="2" s="1"/>
  <c r="N49" i="2" s="1"/>
  <c r="K41" i="2"/>
  <c r="L41" i="2" s="1"/>
  <c r="M41" i="2" s="1"/>
  <c r="N41" i="2" s="1"/>
  <c r="K35" i="2"/>
  <c r="K48" i="2"/>
  <c r="L48" i="2" s="1"/>
  <c r="M48" i="2" s="1"/>
  <c r="N48" i="2" s="1"/>
  <c r="K40" i="2"/>
  <c r="L40" i="2" s="1"/>
  <c r="M40" i="2" s="1"/>
  <c r="N40" i="2" s="1"/>
  <c r="K47" i="2"/>
  <c r="L47" i="2" s="1"/>
  <c r="M47" i="2" s="1"/>
  <c r="N47" i="2" s="1"/>
  <c r="K39" i="2"/>
  <c r="L39" i="2" s="1"/>
  <c r="M39" i="2" s="1"/>
  <c r="N39" i="2" s="1"/>
  <c r="K46" i="2"/>
  <c r="L46" i="2" s="1"/>
  <c r="M46" i="2" s="1"/>
  <c r="N46" i="2" s="1"/>
  <c r="K38" i="2"/>
  <c r="L38" i="2" s="1"/>
  <c r="M38" i="2" s="1"/>
  <c r="N38" i="2" s="1"/>
  <c r="K50" i="2"/>
  <c r="L50" i="2" s="1"/>
  <c r="M50" i="2" s="1"/>
  <c r="N50" i="2" s="1"/>
  <c r="L37" i="2"/>
  <c r="M37" i="2" s="1"/>
  <c r="N37" i="2" s="1"/>
  <c r="K45" i="2"/>
  <c r="L45" i="2" s="1"/>
  <c r="M45" i="2" s="1"/>
  <c r="N45" i="2" s="1"/>
  <c r="F43" i="1"/>
  <c r="E10" i="4"/>
  <c r="D8" i="4"/>
  <c r="F60" i="4"/>
  <c r="E60" i="4"/>
  <c r="X25" i="5"/>
  <c r="I51" i="2"/>
  <c r="L42" i="2"/>
  <c r="M42" i="2" s="1"/>
  <c r="N42" i="2" s="1"/>
  <c r="I44" i="2"/>
  <c r="L44" i="2" s="1"/>
  <c r="M44" i="2" s="1"/>
  <c r="N44" i="2" s="1"/>
  <c r="H44" i="2"/>
  <c r="B51" i="2"/>
  <c r="L35" i="2" l="1"/>
  <c r="K51" i="2"/>
  <c r="L51" i="2" l="1"/>
  <c r="M35" i="2"/>
  <c r="N35" i="2" l="1"/>
  <c r="N51" i="2" s="1"/>
  <c r="M51" i="2"/>
  <c r="N4" i="5" l="1"/>
  <c r="M4" i="5"/>
  <c r="N25" i="5"/>
  <c r="M25" i="5"/>
  <c r="E25" i="5"/>
  <c r="D25" i="5"/>
  <c r="C25" i="5"/>
  <c r="Q24" i="5"/>
  <c r="P24" i="5"/>
  <c r="L24" i="5"/>
  <c r="Q23" i="5"/>
  <c r="P23" i="5"/>
  <c r="L23" i="5"/>
  <c r="Q22" i="5"/>
  <c r="P22" i="5"/>
  <c r="L22" i="5"/>
  <c r="Q21" i="5"/>
  <c r="P21" i="5"/>
  <c r="L21" i="5"/>
  <c r="Q20" i="5"/>
  <c r="P20" i="5"/>
  <c r="L20" i="5"/>
  <c r="Q19" i="5"/>
  <c r="P19" i="5"/>
  <c r="L19" i="5"/>
  <c r="Q18" i="5"/>
  <c r="P18" i="5"/>
  <c r="L18" i="5"/>
  <c r="Q17" i="5"/>
  <c r="P17" i="5"/>
  <c r="L17" i="5"/>
  <c r="Q16" i="5"/>
  <c r="P16" i="5"/>
  <c r="L16" i="5"/>
  <c r="Q15" i="5"/>
  <c r="P15" i="5"/>
  <c r="L15" i="5"/>
  <c r="Q14" i="5"/>
  <c r="P14" i="5"/>
  <c r="L14" i="5"/>
  <c r="Q13" i="5"/>
  <c r="P13" i="5"/>
  <c r="L13" i="5"/>
  <c r="Q12" i="5"/>
  <c r="P12" i="5"/>
  <c r="L12" i="5"/>
  <c r="Q11" i="5"/>
  <c r="P11" i="5"/>
  <c r="L11" i="5"/>
  <c r="Q10" i="5"/>
  <c r="P10" i="5"/>
  <c r="L10" i="5"/>
  <c r="Q9" i="5"/>
  <c r="P9" i="5"/>
  <c r="L9" i="5"/>
  <c r="Q8" i="5"/>
  <c r="P8" i="5"/>
  <c r="L8" i="5"/>
  <c r="Q7" i="5"/>
  <c r="P7" i="5"/>
  <c r="L7" i="5"/>
  <c r="Q6" i="5"/>
  <c r="P6" i="5"/>
  <c r="L6" i="5"/>
  <c r="Q5" i="5"/>
  <c r="P5" i="5"/>
  <c r="L5" i="5"/>
  <c r="U20" i="5" l="1"/>
  <c r="R20" i="5"/>
  <c r="O10" i="5"/>
  <c r="U10" i="5"/>
  <c r="R10" i="5"/>
  <c r="V25" i="5"/>
  <c r="S25" i="5"/>
  <c r="U22" i="5"/>
  <c r="R22" i="5"/>
  <c r="O12" i="5"/>
  <c r="U12" i="5"/>
  <c r="R12" i="5"/>
  <c r="O15" i="5"/>
  <c r="R15" i="5"/>
  <c r="U15" i="5"/>
  <c r="O18" i="5"/>
  <c r="U18" i="5"/>
  <c r="R18" i="5"/>
  <c r="O5" i="5"/>
  <c r="U5" i="5"/>
  <c r="R5" i="5"/>
  <c r="O13" i="5"/>
  <c r="U13" i="5"/>
  <c r="R13" i="5"/>
  <c r="O21" i="5"/>
  <c r="U21" i="5"/>
  <c r="R21" i="5"/>
  <c r="W25" i="5"/>
  <c r="T25" i="5"/>
  <c r="R6" i="5"/>
  <c r="U6" i="5"/>
  <c r="U17" i="5"/>
  <c r="R17" i="5"/>
  <c r="O24" i="5"/>
  <c r="U24" i="5"/>
  <c r="R24" i="5"/>
  <c r="R14" i="5"/>
  <c r="U14" i="5"/>
  <c r="U9" i="5"/>
  <c r="R9" i="5"/>
  <c r="R7" i="5"/>
  <c r="U7" i="5"/>
  <c r="R23" i="5"/>
  <c r="U23" i="5"/>
  <c r="O8" i="5"/>
  <c r="U8" i="5"/>
  <c r="R8" i="5"/>
  <c r="O16" i="5"/>
  <c r="U16" i="5"/>
  <c r="R16" i="5"/>
  <c r="R11" i="5"/>
  <c r="U11" i="5"/>
  <c r="R19" i="5"/>
  <c r="U19" i="5"/>
  <c r="P25" i="5"/>
  <c r="O7" i="5"/>
  <c r="O23" i="5"/>
  <c r="Q25" i="5"/>
  <c r="O20" i="5"/>
  <c r="O6" i="5"/>
  <c r="O14" i="5"/>
  <c r="O22" i="5"/>
  <c r="O9" i="5"/>
  <c r="O17" i="5"/>
  <c r="L25" i="5"/>
  <c r="O11" i="5"/>
  <c r="O19" i="5"/>
  <c r="U25" i="5" l="1"/>
  <c r="R25" i="5"/>
  <c r="O25" i="5"/>
  <c r="C25" i="2" l="1"/>
  <c r="B25" i="2"/>
  <c r="C23" i="2"/>
  <c r="B23" i="2"/>
  <c r="E20" i="2"/>
  <c r="E19" i="2"/>
  <c r="E18" i="2"/>
  <c r="E17" i="2"/>
  <c r="E14" i="2"/>
  <c r="E13" i="2"/>
  <c r="E12" i="2"/>
  <c r="E5" i="2"/>
  <c r="I15" i="2" l="1"/>
  <c r="I12" i="2"/>
  <c r="E25" i="2"/>
  <c r="E23" i="2"/>
  <c r="F5" i="2"/>
  <c r="B8" i="2" s="1"/>
  <c r="H5" i="2"/>
  <c r="C8" i="2" l="1"/>
  <c r="E43" i="1"/>
  <c r="D43" i="1"/>
  <c r="C43" i="1" l="1"/>
</calcChain>
</file>

<file path=xl/sharedStrings.xml><?xml version="1.0" encoding="utf-8"?>
<sst xmlns="http://schemas.openxmlformats.org/spreadsheetml/2006/main" count="318" uniqueCount="177">
  <si>
    <t>Total</t>
  </si>
  <si>
    <t>Water Service Areas</t>
  </si>
  <si>
    <t>P-E Well Areas</t>
  </si>
  <si>
    <t>--</t>
  </si>
  <si>
    <t>Totals</t>
  </si>
  <si>
    <t>Notes:</t>
  </si>
  <si>
    <t>pvt</t>
  </si>
  <si>
    <t>total</t>
  </si>
  <si>
    <t>oth</t>
  </si>
  <si>
    <r>
      <t>Snohomish County (Past Trends)</t>
    </r>
    <r>
      <rPr>
        <b/>
        <vertAlign val="superscript"/>
        <sz val="11"/>
        <color theme="1"/>
        <rFont val="Calibri"/>
        <family val="2"/>
        <scheme val="minor"/>
      </rPr>
      <t>2</t>
    </r>
  </si>
  <si>
    <t>total building permits</t>
  </si>
  <si>
    <t>Number of permits</t>
  </si>
  <si>
    <t>% of growth</t>
  </si>
  <si>
    <t>pub</t>
  </si>
  <si>
    <t>* = a portion of this basin in the urban area</t>
  </si>
  <si>
    <t>WRIA (Ecology Coverage)</t>
  </si>
  <si>
    <t>(KC building permiting data)</t>
  </si>
  <si>
    <t>2000-2009</t>
  </si>
  <si>
    <t>2010-2017</t>
  </si>
  <si>
    <t>permits per year</t>
  </si>
  <si>
    <t>% of county-wide total</t>
  </si>
  <si>
    <t>PE/yr</t>
  </si>
  <si>
    <t>20 yr est</t>
  </si>
  <si>
    <t>Historic %</t>
  </si>
  <si>
    <t>Water District info</t>
  </si>
  <si>
    <t xml:space="preserve">Ag PD </t>
  </si>
  <si>
    <t>permits</t>
  </si>
  <si>
    <t>% of WRIA total</t>
  </si>
  <si>
    <t>wtr dst (within water district)</t>
  </si>
  <si>
    <t>no dst (outside water district)</t>
  </si>
  <si>
    <t>Forest PD</t>
  </si>
  <si>
    <t>Water service info</t>
  </si>
  <si>
    <t>(derived from KC parcel attribute data)</t>
  </si>
  <si>
    <t>public water system (pub)</t>
  </si>
  <si>
    <t>other</t>
  </si>
  <si>
    <t xml:space="preserve">Existing </t>
  </si>
  <si>
    <t>PE wells</t>
  </si>
  <si>
    <t>error</t>
  </si>
  <si>
    <t>historic growth by KC stream basin</t>
  </si>
  <si>
    <t>permits/year</t>
  </si>
  <si>
    <t>Wells per year + 6% error</t>
  </si>
  <si>
    <t>Total wells in 20 years</t>
  </si>
  <si>
    <t>2019 Available Capacity</t>
  </si>
  <si>
    <t>GeoEngineers Proposed PE Well Allocation</t>
  </si>
  <si>
    <t>Added by GeoEngineers:</t>
  </si>
  <si>
    <t>Period</t>
  </si>
  <si>
    <t>Incorrect (Location, Date, etc.)</t>
  </si>
  <si>
    <t>1998-2007</t>
  </si>
  <si>
    <t>2008-2018</t>
  </si>
  <si>
    <t>Percent of Total</t>
  </si>
  <si>
    <t>Total Potential Wells in UGA in 20 years</t>
  </si>
  <si>
    <r>
      <t>King County              (Past Trends)</t>
    </r>
    <r>
      <rPr>
        <b/>
        <vertAlign val="superscript"/>
        <sz val="11"/>
        <color theme="1"/>
        <rFont val="Calibri"/>
        <family val="2"/>
        <scheme val="minor"/>
      </rPr>
      <t>1</t>
    </r>
  </si>
  <si>
    <t>Prepared by GeoEngineers</t>
  </si>
  <si>
    <t>Total Rounded</t>
  </si>
  <si>
    <t xml:space="preserve">Total Rounded </t>
  </si>
  <si>
    <t>Spot Checked 1998-2007</t>
  </si>
  <si>
    <t>Spot Checked 2008-2018</t>
  </si>
  <si>
    <t>Future Permit-Exempt wells</t>
  </si>
  <si>
    <r>
      <t>PE Wells in UGA</t>
    </r>
    <r>
      <rPr>
        <vertAlign val="superscript"/>
        <sz val="11"/>
        <color theme="1"/>
        <rFont val="Calibri"/>
        <family val="2"/>
        <scheme val="minor"/>
      </rPr>
      <t>3</t>
    </r>
  </si>
  <si>
    <t>well - private water (pvt)</t>
  </si>
  <si>
    <t>GeoEngineers - UGA Well Log Spot Check</t>
  </si>
  <si>
    <r>
      <rPr>
        <vertAlign val="superscript"/>
        <sz val="11"/>
        <color theme="1"/>
        <rFont val="Calibri"/>
        <family val="2"/>
        <scheme val="minor"/>
      </rPr>
      <t>1</t>
    </r>
    <r>
      <rPr>
        <sz val="11"/>
        <color theme="1"/>
        <rFont val="Calibri"/>
        <family val="2"/>
        <scheme val="minor"/>
      </rPr>
      <t xml:space="preserve"> = Based on 20 year estimate of potential new permit exempt wells plus 6% error in unincorporated King County.</t>
    </r>
  </si>
  <si>
    <t>Past Trends</t>
  </si>
  <si>
    <t>Capacity Surplus or Shortfall       - Past Trends Scenario -</t>
  </si>
  <si>
    <t>King County - Unincorporated WRIA 7 Growth Projections</t>
  </si>
  <si>
    <t>Snohomish County - Unincorporated WRIA 7 Growth Projections</t>
  </si>
  <si>
    <t>Little Pilchuck River</t>
  </si>
  <si>
    <t>Quilceda Creek</t>
  </si>
  <si>
    <t>Lower Pilchuck River</t>
  </si>
  <si>
    <t>Woods Creek</t>
  </si>
  <si>
    <t>Tulalip Creek - Frontal Possession Sound</t>
  </si>
  <si>
    <t>French Creek</t>
  </si>
  <si>
    <t>Snohomish River - Frontal Possession Sound</t>
  </si>
  <si>
    <t>Elwell Creek - Skykomish River</t>
  </si>
  <si>
    <t>Evans Creek - Snohomish River</t>
  </si>
  <si>
    <t>Peoples Creek - Snoqualmie River</t>
  </si>
  <si>
    <t>McCoy Creek - Skykomish River</t>
  </si>
  <si>
    <t>Wallace River</t>
  </si>
  <si>
    <t>Lower Sultan River</t>
  </si>
  <si>
    <t>Upper Pilchuck River</t>
  </si>
  <si>
    <t>Lower South Fork Skykomish River</t>
  </si>
  <si>
    <t>Lower North Fork Skykomish River</t>
  </si>
  <si>
    <t>Cherry Creek - SnoCo Portion</t>
  </si>
  <si>
    <t>Olney Creek</t>
  </si>
  <si>
    <t>Upper Sultan River</t>
  </si>
  <si>
    <t>Middle North Fork Skykomish River</t>
  </si>
  <si>
    <t>Total WRIA 7</t>
  </si>
  <si>
    <t>Powder Mill Gulch - Frontal Possession Sound</t>
  </si>
  <si>
    <t>Middle Sultan River</t>
  </si>
  <si>
    <t>Upper North Fork Skykomish</t>
  </si>
  <si>
    <t>Upper Beckler River</t>
  </si>
  <si>
    <t>Upper North Fork Tolt River - Sno Co Portion</t>
  </si>
  <si>
    <t>WRIA 7 - Snohomish</t>
  </si>
  <si>
    <t>23 basins in WRIA 7 within KC</t>
  </si>
  <si>
    <t>98% of the area in rural King County</t>
  </si>
  <si>
    <t>Stream Basin w/ permits</t>
  </si>
  <si>
    <t>%pub</t>
  </si>
  <si>
    <t>%pvt</t>
  </si>
  <si>
    <t>Permits per year</t>
  </si>
  <si>
    <t>Wells per year (pvt)</t>
  </si>
  <si>
    <t>Ames Lake</t>
  </si>
  <si>
    <t>Cherry Creek*</t>
  </si>
  <si>
    <t>Coal Creek (Snoq.)*</t>
  </si>
  <si>
    <t>Griffen Creek</t>
  </si>
  <si>
    <t>Harris Creek</t>
  </si>
  <si>
    <t>Lower Tolt River*</t>
  </si>
  <si>
    <t>Middle Fork Snoqualmie River*</t>
  </si>
  <si>
    <t>Miller River</t>
  </si>
  <si>
    <t>North Fork Snoqualmie River</t>
  </si>
  <si>
    <t>Patterson Creek*</t>
  </si>
  <si>
    <t>Raging River*</t>
  </si>
  <si>
    <t>Snoqualmie River*</t>
  </si>
  <si>
    <t>South Fork Skykomish</t>
  </si>
  <si>
    <t>South Fork Snoqualmie River*</t>
  </si>
  <si>
    <t>Tokul Creek</t>
  </si>
  <si>
    <t>Tuck Creek</t>
  </si>
  <si>
    <t>WRIA 7</t>
  </si>
  <si>
    <t>Total Spot Checked</t>
  </si>
  <si>
    <t>Domestic (includes municipal and community wells)</t>
  </si>
  <si>
    <t>Irrigation</t>
  </si>
  <si>
    <t>Other (Test, Dewatering, Industrial, Mitigation, UIC, Deepened or Refurbished)</t>
  </si>
  <si>
    <t>GeoEngineers - Incorporated (UGA) WRIA 7 Growth Projections</t>
  </si>
  <si>
    <t>Draft 8/20/19</t>
  </si>
  <si>
    <t>Total new home forecast (4980) = calculated new residential dewllings per year (249) x WREC planning time period (20 years)</t>
  </si>
  <si>
    <t>Woods Creek*</t>
  </si>
  <si>
    <t>French Creek*</t>
  </si>
  <si>
    <t>Lower Sultan River*</t>
  </si>
  <si>
    <r>
      <t xml:space="preserve">Snohomish County Analysis Excluded HUCs: (all </t>
    </r>
    <r>
      <rPr>
        <b/>
        <sz val="11"/>
        <color rgb="FFFF0000"/>
        <rFont val="Calibri"/>
        <family val="2"/>
        <scheme val="minor"/>
      </rPr>
      <t>urban</t>
    </r>
    <r>
      <rPr>
        <b/>
        <sz val="11"/>
        <color theme="1"/>
        <rFont val="Calibri"/>
        <family val="2"/>
        <scheme val="minor"/>
      </rPr>
      <t xml:space="preserve"> or all</t>
    </r>
    <r>
      <rPr>
        <b/>
        <sz val="11"/>
        <color theme="9" tint="-0.249977111117893"/>
        <rFont val="Calibri"/>
        <family val="2"/>
        <scheme val="minor"/>
      </rPr>
      <t xml:space="preserve"> forest</t>
    </r>
    <r>
      <rPr>
        <b/>
        <sz val="11"/>
        <rFont val="Calibri"/>
        <family val="2"/>
        <scheme val="minor"/>
      </rPr>
      <t>)</t>
    </r>
  </si>
  <si>
    <t>Draft 7/10/2019</t>
  </si>
  <si>
    <t>King County Stream Basin</t>
  </si>
  <si>
    <t xml:space="preserve">Snohomish County HUC 12 </t>
  </si>
  <si>
    <t>draft as of 8/20/19</t>
  </si>
  <si>
    <t>Growth Forecast Scencarios - New Homes - Past Trends and 2019 Available Capacity prepared by Snohomish County.</t>
  </si>
  <si>
    <r>
      <t>Quilceda Creek</t>
    </r>
    <r>
      <rPr>
        <vertAlign val="superscript"/>
        <sz val="11"/>
        <color theme="1"/>
        <rFont val="Calibri"/>
        <family val="2"/>
        <scheme val="minor"/>
      </rPr>
      <t>1</t>
    </r>
  </si>
  <si>
    <r>
      <t>Tulalip Creek - Frontal Possession Sound</t>
    </r>
    <r>
      <rPr>
        <vertAlign val="superscript"/>
        <sz val="11"/>
        <color theme="1"/>
        <rFont val="Calibri"/>
        <family val="2"/>
        <scheme val="minor"/>
      </rPr>
      <t>3</t>
    </r>
  </si>
  <si>
    <r>
      <t>Total</t>
    </r>
    <r>
      <rPr>
        <b/>
        <vertAlign val="superscript"/>
        <sz val="11"/>
        <color theme="1"/>
        <rFont val="Calibri"/>
        <family val="2"/>
        <scheme val="minor"/>
      </rPr>
      <t>1</t>
    </r>
  </si>
  <si>
    <r>
      <t>Total PE Wells</t>
    </r>
    <r>
      <rPr>
        <b/>
        <vertAlign val="superscript"/>
        <sz val="11"/>
        <color theme="1"/>
        <rFont val="Calibri"/>
        <family val="2"/>
        <scheme val="minor"/>
      </rPr>
      <t>2,3</t>
    </r>
  </si>
  <si>
    <r>
      <rPr>
        <vertAlign val="superscript"/>
        <sz val="11"/>
        <color theme="1"/>
        <rFont val="Calibri"/>
        <family val="2"/>
        <scheme val="minor"/>
      </rPr>
      <t>1</t>
    </r>
    <r>
      <rPr>
        <sz val="11"/>
        <color theme="1"/>
        <rFont val="Calibri"/>
        <family val="2"/>
        <scheme val="minor"/>
      </rPr>
      <t xml:space="preserve">Total Past Trends values for Woods Creek, French Creek, and Lower Sultan River adjusted to match Forecasts by HUC tab in Snohomish County data spreadsheet. </t>
    </r>
  </si>
  <si>
    <t>Potential number of new wells based on percentage of past 20 year total (126)</t>
  </si>
  <si>
    <r>
      <rPr>
        <vertAlign val="superscript"/>
        <sz val="11"/>
        <color theme="1"/>
        <rFont val="Calibri"/>
        <family val="2"/>
        <scheme val="minor"/>
      </rPr>
      <t>4</t>
    </r>
    <r>
      <rPr>
        <sz val="11"/>
        <color theme="1"/>
        <rFont val="Calibri"/>
        <family val="2"/>
        <scheme val="minor"/>
      </rPr>
      <t xml:space="preserve"> = "PE wells" is used to refer to new homes associated with new permit-exempt wells and also new homes added to existing wells on group systems relying on permit-exempt wells. </t>
    </r>
  </si>
  <si>
    <r>
      <t>Total PE Wells</t>
    </r>
    <r>
      <rPr>
        <vertAlign val="superscript"/>
        <sz val="11"/>
        <color theme="1"/>
        <rFont val="Calibri"/>
        <family val="2"/>
        <scheme val="minor"/>
      </rPr>
      <t>4</t>
    </r>
    <r>
      <rPr>
        <b/>
        <sz val="11"/>
        <color theme="1"/>
        <rFont val="Calibri"/>
        <family val="2"/>
        <scheme val="minor"/>
      </rPr>
      <t xml:space="preserve"> per Stream Basin/HUC 12</t>
    </r>
  </si>
  <si>
    <r>
      <t xml:space="preserve">Preliminary Summary Growth Projections for new PE wells in WRIA 7 - Snohomish
</t>
    </r>
    <r>
      <rPr>
        <b/>
        <sz val="14"/>
        <color theme="1"/>
        <rFont val="Calibri"/>
        <family val="2"/>
        <scheme val="minor"/>
      </rPr>
      <t>2018-2038</t>
    </r>
  </si>
  <si>
    <t>Quilceda Creek**</t>
  </si>
  <si>
    <t>Tulalip Creek - Frontal Possession Sound**</t>
  </si>
  <si>
    <t xml:space="preserve">**= does not include tribal owned PE wells on Tulalip Reservation. </t>
  </si>
  <si>
    <t xml:space="preserve">    Note that PE Well allocation exceeds PE Well Areas 2019 Capacity by 229. Does not include tribal owned PE wells on Tulalip Reservation.</t>
  </si>
  <si>
    <t xml:space="preserve">Notes: </t>
  </si>
  <si>
    <t xml:space="preserve">This tables includes data for wells in Ecology's Well Report database, filtered for a depth greater than 30 feet and diameter 6-8 inches. Ecology does not have the ability to filter for permit-exempt domestic wells. Information in the database is based on records submitted by the driller. Well Report Data and Images released from the Department of Ecology are provided on an “AS IS” basis, without warranty of any kind.   </t>
  </si>
  <si>
    <r>
      <rPr>
        <vertAlign val="superscript"/>
        <sz val="11"/>
        <color theme="1"/>
        <rFont val="Calibri"/>
        <family val="2"/>
        <scheme val="minor"/>
      </rPr>
      <t>3</t>
    </r>
    <r>
      <rPr>
        <sz val="11"/>
        <color theme="1"/>
        <rFont val="Calibri"/>
        <family val="2"/>
        <scheme val="minor"/>
      </rPr>
      <t>Assume all of the water service area growth forecast in the Tulalip HUC (249) will use PE wells to account for the Seven Lakes water system inability to expand service at this time.</t>
    </r>
  </si>
  <si>
    <r>
      <rPr>
        <vertAlign val="superscript"/>
        <sz val="11"/>
        <color theme="1"/>
        <rFont val="Calibri"/>
        <family val="2"/>
        <scheme val="minor"/>
      </rPr>
      <t>2</t>
    </r>
    <r>
      <rPr>
        <sz val="11"/>
        <color theme="1"/>
        <rFont val="Calibri"/>
        <family val="2"/>
        <scheme val="minor"/>
      </rPr>
      <t>Assume half of the Quilceda HUC growth will use PE wells (26). Part of the Quilceda area has water provided by Marysville/City of Everett and part is within Seven Lakes water service area. Does not include tribal owned PE wells on Tulalip Reservation.</t>
    </r>
  </si>
  <si>
    <r>
      <rPr>
        <vertAlign val="superscript"/>
        <sz val="11"/>
        <color theme="1"/>
        <rFont val="Calibri"/>
        <family val="2"/>
        <scheme val="minor"/>
      </rPr>
      <t>2</t>
    </r>
    <r>
      <rPr>
        <sz val="11"/>
        <color theme="1"/>
        <rFont val="Calibri"/>
        <family val="2"/>
        <scheme val="minor"/>
      </rPr>
      <t xml:space="preserve"> = Based 20 year estimate of potential new permit exempt wells in unincorporated Snohomish County using the "past trends scenario."  Assumes half of the projected growth for water service areas in "Quilceda Creek" (26) will use PE well areas (part of the Quilceda area has water provided by Marysville/City of Everett.)  and assumes all of the growth forecast for water service areas in Tulalip Creek - Frontal Possession Sound (249) will use PE wells to account for the inability of the Seven Lakes water system to expand service at this time. The total exceeds the PE well areas, since it it includes the potential for PE wells in the water service area. </t>
    </r>
  </si>
  <si>
    <r>
      <rPr>
        <vertAlign val="superscript"/>
        <sz val="11"/>
        <color theme="1"/>
        <rFont val="Calibri"/>
        <family val="2"/>
        <scheme val="minor"/>
      </rPr>
      <t>3</t>
    </r>
    <r>
      <rPr>
        <sz val="11"/>
        <color theme="1"/>
        <rFont val="Calibri"/>
        <family val="2"/>
        <scheme val="minor"/>
      </rPr>
      <t xml:space="preserve"> = Based on spot check of Ecology well log database. Accounts for potential wells within the incorporated Urban Growth Area over the 20-year planning horizon.</t>
    </r>
  </si>
  <si>
    <t>V 2040 Comp Plan Targets</t>
  </si>
  <si>
    <t>City UGA</t>
  </si>
  <si>
    <t>Duvall  UGA</t>
  </si>
  <si>
    <t>Snoqualmie UGA</t>
  </si>
  <si>
    <t>Skykomish UGA</t>
  </si>
  <si>
    <t>North Bend UGA</t>
  </si>
  <si>
    <t>Marysville UGA</t>
  </si>
  <si>
    <t>Marysville and Arlington UGAs</t>
  </si>
  <si>
    <t>Monroe UGA</t>
  </si>
  <si>
    <t>Snohomish and Lake Stevens UGAs</t>
  </si>
  <si>
    <t>Sultan UGA</t>
  </si>
  <si>
    <t>Granite Falls UGA</t>
  </si>
  <si>
    <t>Capacity Surplus or Shortfall       - Comp Plan Targets -</t>
  </si>
  <si>
    <t>Capacity Surplus or Shortfall       - OFM High Forecast* -</t>
  </si>
  <si>
    <t>OFM High Forecast 
(Developed by GeoEngineers)</t>
  </si>
  <si>
    <t>Snohomish County-WRIA 7 HUC 12</t>
  </si>
  <si>
    <t>Snoqualmie River Stream Basin</t>
  </si>
  <si>
    <t>Cherry Creek Stream Basin</t>
  </si>
  <si>
    <t>Overlap between HUC-12 and Stream Basins</t>
  </si>
  <si>
    <t>Lower South Fork Skykomish HUC-12</t>
  </si>
  <si>
    <t>South Fork Skykomish Drainage Basin</t>
  </si>
  <si>
    <t>Cherry Creek HUC-12</t>
  </si>
  <si>
    <t>Peoples-Creek Snoqualmie River HUC-12</t>
  </si>
  <si>
    <t xml:space="preserve">Rapid River </t>
  </si>
  <si>
    <t xml:space="preserve">Lower Beckler River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</si>
</sst>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9"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4"/>
      <color theme="1"/>
      <name val="Calibri"/>
      <family val="2"/>
      <scheme val="minor"/>
    </font>
    <font>
      <b/>
      <sz val="11"/>
      <color rgb="FFFF0000"/>
      <name val="Calibri"/>
      <family val="2"/>
      <scheme val="minor"/>
    </font>
    <font>
      <b/>
      <sz val="11"/>
      <color theme="9" tint="-0.249977111117893"/>
      <name val="Calibri"/>
      <family val="2"/>
      <scheme val="minor"/>
    </font>
    <font>
      <b/>
      <sz val="11"/>
      <name val="Calibri"/>
      <family val="2"/>
      <scheme val="minor"/>
    </font>
    <font>
      <sz val="11"/>
      <color theme="9" tint="-0.249977111117893"/>
      <name val="Calibri"/>
      <family val="2"/>
      <scheme val="minor"/>
    </font>
    <font>
      <sz val="11"/>
      <color theme="1"/>
      <name val="Calibri"/>
      <family val="2"/>
    </font>
    <font>
      <b/>
      <sz val="18"/>
      <color rgb="FF000000"/>
      <name val="Calibri"/>
      <family val="2"/>
    </font>
    <font>
      <b/>
      <sz val="11"/>
      <color rgb="FF000000"/>
      <name val="Calibri"/>
      <family val="2"/>
    </font>
    <font>
      <sz val="11"/>
      <color rgb="FF00B05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BEF"/>
        <bgColor indexed="64"/>
      </patternFill>
    </fill>
    <fill>
      <patternFill patternType="solid">
        <fgColor theme="9" tint="0.79998168889431442"/>
        <bgColor indexed="64"/>
      </patternFill>
    </fill>
    <fill>
      <patternFill patternType="solid">
        <fgColor rgb="FFEFF6FB"/>
        <bgColor indexed="64"/>
      </patternFill>
    </fill>
    <fill>
      <patternFill patternType="solid">
        <fgColor theme="5" tint="0.79998168889431442"/>
        <bgColor indexed="64"/>
      </patternFill>
    </fill>
    <fill>
      <patternFill patternType="solid">
        <fgColor rgb="FFE2EFDA"/>
        <bgColor rgb="FF000000"/>
      </patternFill>
    </fill>
  </fills>
  <borders count="8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auto="1"/>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top/>
      <bottom style="thin">
        <color indexed="64"/>
      </bottom>
      <diagonal/>
    </border>
    <border>
      <left style="thick">
        <color auto="1"/>
      </left>
      <right/>
      <top style="double">
        <color auto="1"/>
      </top>
      <bottom style="thick">
        <color auto="1"/>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auto="1"/>
      </right>
      <top style="double">
        <color auto="1"/>
      </top>
      <bottom style="thick">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ck">
        <color auto="1"/>
      </left>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right style="thin">
        <color auto="1"/>
      </right>
      <top style="thin">
        <color auto="1"/>
      </top>
      <bottom/>
      <diagonal/>
    </border>
    <border>
      <left style="thin">
        <color auto="1"/>
      </left>
      <right/>
      <top style="double">
        <color auto="1"/>
      </top>
      <bottom style="thick">
        <color auto="1"/>
      </bottom>
      <diagonal/>
    </border>
    <border>
      <left style="thin">
        <color indexed="64"/>
      </left>
      <right style="thick">
        <color indexed="64"/>
      </right>
      <top style="thin">
        <color indexed="64"/>
      </top>
      <bottom style="thick">
        <color auto="1"/>
      </bottom>
      <diagonal/>
    </border>
    <border>
      <left style="thick">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right style="medium">
        <color indexed="64"/>
      </right>
      <top/>
      <bottom/>
      <diagonal/>
    </border>
    <border>
      <left/>
      <right/>
      <top style="thick">
        <color indexed="64"/>
      </top>
      <bottom style="thick">
        <color indexed="64"/>
      </bottom>
      <diagonal/>
    </border>
    <border>
      <left style="thick">
        <color auto="1"/>
      </left>
      <right/>
      <top style="thick">
        <color auto="1"/>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bottom/>
      <diagonal/>
    </border>
    <border>
      <left/>
      <right/>
      <top style="thin">
        <color auto="1"/>
      </top>
      <bottom style="thin">
        <color auto="1"/>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7" fillId="0" borderId="0" applyFont="0" applyFill="0" applyBorder="0" applyAlignment="0" applyProtection="0"/>
  </cellStyleXfs>
  <cellXfs count="297">
    <xf numFmtId="0" fontId="0" fillId="0" borderId="0" xfId="0"/>
    <xf numFmtId="0" fontId="2" fillId="0" borderId="0" xfId="0" applyFont="1"/>
    <xf numFmtId="0" fontId="0" fillId="0" borderId="0" xfId="0" applyAlignment="1">
      <alignment horizontal="center"/>
    </xf>
    <xf numFmtId="1" fontId="0" fillId="0" borderId="0" xfId="0" applyNumberFormat="1"/>
    <xf numFmtId="0" fontId="0" fillId="0" borderId="0" xfId="0" applyFill="1" applyBorder="1"/>
    <xf numFmtId="0" fontId="0" fillId="0" borderId="0" xfId="0" applyBorder="1" applyAlignment="1">
      <alignment horizontal="center"/>
    </xf>
    <xf numFmtId="0" fontId="0" fillId="3" borderId="2" xfId="0" applyFill="1" applyBorder="1"/>
    <xf numFmtId="0" fontId="0" fillId="3" borderId="1" xfId="0" applyFill="1" applyBorder="1"/>
    <xf numFmtId="1" fontId="0" fillId="0" borderId="0" xfId="0" applyNumberFormat="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9" xfId="0" applyFont="1" applyBorder="1" applyAlignment="1">
      <alignment horizontal="center" vertical="center" wrapText="1"/>
    </xf>
    <xf numFmtId="0" fontId="0" fillId="0" borderId="10" xfId="0" quotePrefix="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1" fillId="0" borderId="12" xfId="0" applyFont="1" applyBorder="1" applyAlignment="1">
      <alignment horizontal="center" vertical="center" wrapText="1"/>
    </xf>
    <xf numFmtId="0" fontId="1" fillId="0" borderId="9" xfId="0" applyFont="1" applyBorder="1" applyAlignment="1">
      <alignment horizontal="center" wrapText="1"/>
    </xf>
    <xf numFmtId="0" fontId="6" fillId="0" borderId="0" xfId="0" applyFont="1"/>
    <xf numFmtId="0" fontId="1" fillId="0" borderId="13" xfId="0" applyFont="1" applyBorder="1" applyAlignment="1">
      <alignment horizontal="center"/>
    </xf>
    <xf numFmtId="0" fontId="1" fillId="0" borderId="0" xfId="0" applyFont="1" applyFill="1" applyBorder="1" applyAlignment="1">
      <alignment horizontal="center"/>
    </xf>
    <xf numFmtId="0" fontId="1" fillId="0" borderId="14" xfId="0" applyFont="1" applyBorder="1" applyAlignment="1">
      <alignment horizontal="center" vertical="center" wrapText="1"/>
    </xf>
    <xf numFmtId="0" fontId="0" fillId="0" borderId="16" xfId="0" applyBorder="1" applyAlignment="1">
      <alignment horizontal="center"/>
    </xf>
    <xf numFmtId="0" fontId="0" fillId="0" borderId="1" xfId="0" applyBorder="1" applyAlignment="1">
      <alignment horizontal="center"/>
    </xf>
    <xf numFmtId="9" fontId="0" fillId="0" borderId="0" xfId="1" applyFont="1" applyAlignment="1">
      <alignment horizontal="center"/>
    </xf>
    <xf numFmtId="0" fontId="0" fillId="0" borderId="0" xfId="0" applyAlignment="1">
      <alignment horizontal="center" vertical="center"/>
    </xf>
    <xf numFmtId="2" fontId="0" fillId="0" borderId="0" xfId="0" applyNumberFormat="1" applyAlignment="1">
      <alignment horizontal="left"/>
    </xf>
    <xf numFmtId="9" fontId="0" fillId="0" borderId="0" xfId="0" applyNumberFormat="1" applyAlignment="1">
      <alignment horizontal="center"/>
    </xf>
    <xf numFmtId="0" fontId="1" fillId="2" borderId="0" xfId="0" applyFont="1" applyFill="1"/>
    <xf numFmtId="0" fontId="1" fillId="2" borderId="0" xfId="0" applyFont="1" applyFill="1" applyAlignment="1">
      <alignment horizontal="center"/>
    </xf>
    <xf numFmtId="0" fontId="0" fillId="2" borderId="0" xfId="0" applyFill="1"/>
    <xf numFmtId="0" fontId="0" fillId="0" borderId="0" xfId="0" applyAlignment="1">
      <alignment horizontal="right"/>
    </xf>
    <xf numFmtId="164" fontId="0" fillId="0" borderId="0" xfId="0" applyNumberFormat="1"/>
    <xf numFmtId="1" fontId="1" fillId="2" borderId="0" xfId="0" applyNumberFormat="1" applyFont="1" applyFill="1" applyAlignment="1">
      <alignment horizontal="center"/>
    </xf>
    <xf numFmtId="0" fontId="0" fillId="0" borderId="1" xfId="0" applyBorder="1"/>
    <xf numFmtId="0" fontId="0" fillId="0" borderId="1" xfId="0" applyBorder="1" applyAlignment="1">
      <alignment horizontal="left"/>
    </xf>
    <xf numFmtId="0" fontId="1" fillId="0" borderId="0" xfId="0" applyFont="1"/>
    <xf numFmtId="0" fontId="0" fillId="0" borderId="17" xfId="0" applyBorder="1"/>
    <xf numFmtId="0" fontId="0" fillId="3" borderId="18" xfId="0" applyFill="1" applyBorder="1"/>
    <xf numFmtId="0" fontId="0" fillId="5" borderId="2" xfId="0" applyFill="1" applyBorder="1"/>
    <xf numFmtId="0" fontId="0" fillId="5" borderId="1" xfId="0" applyFill="1" applyBorder="1"/>
    <xf numFmtId="0" fontId="0" fillId="0" borderId="21" xfId="0" applyBorder="1"/>
    <xf numFmtId="0" fontId="0" fillId="3" borderId="22" xfId="0" applyFill="1" applyBorder="1"/>
    <xf numFmtId="0" fontId="0" fillId="3" borderId="23" xfId="0" applyFill="1" applyBorder="1"/>
    <xf numFmtId="0" fontId="0" fillId="3" borderId="24" xfId="0" applyFill="1" applyBorder="1"/>
    <xf numFmtId="0" fontId="0" fillId="5" borderId="22" xfId="0" applyFill="1" applyBorder="1"/>
    <xf numFmtId="0" fontId="0" fillId="5" borderId="23" xfId="0" applyFill="1" applyBorder="1"/>
    <xf numFmtId="0" fontId="0" fillId="0" borderId="28" xfId="0" applyBorder="1"/>
    <xf numFmtId="0" fontId="0" fillId="0" borderId="29" xfId="0" applyBorder="1" applyAlignment="1">
      <alignment horizontal="center"/>
    </xf>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xf numFmtId="0" fontId="0" fillId="0" borderId="32" xfId="0" applyBorder="1"/>
    <xf numFmtId="0" fontId="0" fillId="0" borderId="32" xfId="0" applyBorder="1" applyAlignment="1">
      <alignment horizontal="left"/>
    </xf>
    <xf numFmtId="9" fontId="0" fillId="0" borderId="0" xfId="0" applyNumberFormat="1"/>
    <xf numFmtId="0" fontId="0" fillId="0" borderId="33" xfId="0" applyBorder="1"/>
    <xf numFmtId="0" fontId="0" fillId="0" borderId="34" xfId="0" applyBorder="1"/>
    <xf numFmtId="9" fontId="0" fillId="0" borderId="34" xfId="1" applyFont="1" applyBorder="1" applyAlignment="1">
      <alignment horizontal="center"/>
    </xf>
    <xf numFmtId="9" fontId="0" fillId="0" borderId="35" xfId="1" applyFont="1" applyBorder="1" applyAlignment="1">
      <alignment horizontal="center"/>
    </xf>
    <xf numFmtId="0" fontId="1" fillId="0" borderId="36" xfId="0" applyFont="1" applyBorder="1"/>
    <xf numFmtId="0" fontId="1" fillId="0" borderId="37" xfId="0" applyFont="1" applyBorder="1"/>
    <xf numFmtId="1" fontId="1" fillId="0" borderId="37" xfId="0" applyNumberFormat="1" applyFont="1" applyBorder="1" applyAlignment="1">
      <alignment horizontal="center"/>
    </xf>
    <xf numFmtId="0" fontId="0" fillId="0" borderId="0" xfId="0" applyAlignment="1">
      <alignment vertical="top" wrapText="1"/>
    </xf>
    <xf numFmtId="0" fontId="0" fillId="6" borderId="8" xfId="0" applyFill="1" applyBorder="1"/>
    <xf numFmtId="0" fontId="0" fillId="6" borderId="1" xfId="0" applyFill="1" applyBorder="1"/>
    <xf numFmtId="0" fontId="0" fillId="6" borderId="18" xfId="0" applyFill="1" applyBorder="1"/>
    <xf numFmtId="0" fontId="0" fillId="6" borderId="25" xfId="0" applyFill="1" applyBorder="1"/>
    <xf numFmtId="0" fontId="0" fillId="6" borderId="23" xfId="0" applyFill="1" applyBorder="1"/>
    <xf numFmtId="0" fontId="0" fillId="6" borderId="24" xfId="0" applyFill="1" applyBorder="1"/>
    <xf numFmtId="0" fontId="0" fillId="0" borderId="0" xfId="0" applyFill="1"/>
    <xf numFmtId="0" fontId="0" fillId="0" borderId="0" xfId="0" applyBorder="1"/>
    <xf numFmtId="0" fontId="0" fillId="4" borderId="4" xfId="0" applyFill="1" applyBorder="1" applyAlignment="1">
      <alignment horizontal="center"/>
    </xf>
    <xf numFmtId="1" fontId="0" fillId="0" borderId="0" xfId="0" applyNumberFormat="1" applyBorder="1"/>
    <xf numFmtId="0" fontId="1" fillId="0" borderId="39" xfId="0" applyFont="1" applyFill="1" applyBorder="1"/>
    <xf numFmtId="0" fontId="1" fillId="0" borderId="40" xfId="0" applyFont="1" applyBorder="1" applyAlignment="1">
      <alignment horizontal="center"/>
    </xf>
    <xf numFmtId="0" fontId="1" fillId="0" borderId="39" xfId="0" applyFont="1" applyBorder="1" applyAlignment="1">
      <alignment horizontal="center"/>
    </xf>
    <xf numFmtId="0" fontId="0" fillId="0" borderId="16" xfId="0" applyBorder="1"/>
    <xf numFmtId="0" fontId="0" fillId="0" borderId="0" xfId="0" applyAlignment="1">
      <alignment wrapText="1"/>
    </xf>
    <xf numFmtId="0" fontId="0" fillId="0" borderId="0" xfId="0" applyBorder="1" applyAlignment="1">
      <alignment wrapText="1"/>
    </xf>
    <xf numFmtId="1" fontId="0" fillId="0" borderId="0" xfId="0" applyNumberFormat="1" applyBorder="1" applyAlignment="1">
      <alignment wrapText="1"/>
    </xf>
    <xf numFmtId="0" fontId="8" fillId="5" borderId="1" xfId="0" applyFont="1" applyFill="1" applyBorder="1"/>
    <xf numFmtId="0" fontId="0" fillId="0" borderId="46" xfId="0" applyBorder="1"/>
    <xf numFmtId="0" fontId="0" fillId="3" borderId="47" xfId="0" applyFill="1" applyBorder="1"/>
    <xf numFmtId="0" fontId="0" fillId="3" borderId="48" xfId="0" applyFill="1" applyBorder="1"/>
    <xf numFmtId="0" fontId="0" fillId="3" borderId="50" xfId="0" applyFill="1" applyBorder="1"/>
    <xf numFmtId="0" fontId="0" fillId="5" borderId="47" xfId="0" applyFill="1" applyBorder="1"/>
    <xf numFmtId="0" fontId="0" fillId="5" borderId="48" xfId="0" applyFill="1" applyBorder="1"/>
    <xf numFmtId="0" fontId="8" fillId="0" borderId="0" xfId="0" applyFont="1"/>
    <xf numFmtId="0" fontId="14" fillId="0" borderId="0" xfId="0" applyFont="1"/>
    <xf numFmtId="0" fontId="0" fillId="6" borderId="51" xfId="0" applyFill="1" applyBorder="1"/>
    <xf numFmtId="0" fontId="0" fillId="6" borderId="48" xfId="0" applyFill="1" applyBorder="1"/>
    <xf numFmtId="0" fontId="0" fillId="6" borderId="50" xfId="0" applyFill="1" applyBorder="1"/>
    <xf numFmtId="0" fontId="0" fillId="5" borderId="42" xfId="0" applyFill="1" applyBorder="1"/>
    <xf numFmtId="0" fontId="0" fillId="5" borderId="16" xfId="0" applyFill="1" applyBorder="1"/>
    <xf numFmtId="0" fontId="0" fillId="6" borderId="7" xfId="0" applyFill="1" applyBorder="1"/>
    <xf numFmtId="0" fontId="0" fillId="6" borderId="16" xfId="0" applyFill="1" applyBorder="1"/>
    <xf numFmtId="0" fontId="0" fillId="6" borderId="43" xfId="0" applyFill="1" applyBorder="1"/>
    <xf numFmtId="0" fontId="0" fillId="3" borderId="16" xfId="0" applyFill="1" applyBorder="1"/>
    <xf numFmtId="0" fontId="3" fillId="3" borderId="43" xfId="0" applyFont="1" applyFill="1" applyBorder="1"/>
    <xf numFmtId="0" fontId="0" fillId="0" borderId="41" xfId="0" applyBorder="1"/>
    <xf numFmtId="0" fontId="1" fillId="5" borderId="54"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5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53" xfId="0" applyFont="1" applyFill="1" applyBorder="1" applyAlignment="1">
      <alignment horizontal="center" vertical="center" wrapText="1"/>
    </xf>
    <xf numFmtId="0" fontId="0" fillId="5" borderId="45" xfId="0" applyFill="1" applyBorder="1"/>
    <xf numFmtId="0" fontId="0" fillId="5" borderId="38" xfId="0" applyFill="1" applyBorder="1"/>
    <xf numFmtId="0" fontId="0" fillId="5" borderId="49" xfId="0" applyFill="1" applyBorder="1"/>
    <xf numFmtId="0" fontId="0" fillId="5" borderId="52" xfId="0" applyFill="1" applyBorder="1"/>
    <xf numFmtId="0" fontId="1" fillId="4" borderId="55" xfId="0" applyFont="1" applyFill="1" applyBorder="1" applyAlignment="1">
      <alignment horizontal="center" vertical="center" wrapText="1"/>
    </xf>
    <xf numFmtId="2" fontId="0" fillId="0" borderId="0" xfId="0" applyNumberFormat="1"/>
    <xf numFmtId="0" fontId="1" fillId="0" borderId="61" xfId="0" applyFont="1" applyBorder="1" applyAlignment="1">
      <alignment horizontal="center"/>
    </xf>
    <xf numFmtId="0" fontId="15" fillId="0" borderId="1" xfId="0" applyFont="1" applyBorder="1" applyAlignment="1">
      <alignment horizontal="center"/>
    </xf>
    <xf numFmtId="0" fontId="0" fillId="0" borderId="44" xfId="0" applyBorder="1" applyAlignment="1">
      <alignment horizontal="center"/>
    </xf>
    <xf numFmtId="0" fontId="0" fillId="0" borderId="0" xfId="0" applyAlignment="1">
      <alignment vertical="top"/>
    </xf>
    <xf numFmtId="1" fontId="0" fillId="0" borderId="0" xfId="0" applyNumberFormat="1" applyFill="1"/>
    <xf numFmtId="0" fontId="16" fillId="0" borderId="0" xfId="0" applyFont="1"/>
    <xf numFmtId="0" fontId="15" fillId="0" borderId="0" xfId="0" applyFont="1"/>
    <xf numFmtId="0" fontId="15" fillId="7" borderId="0" xfId="0" applyFont="1" applyFill="1"/>
    <xf numFmtId="0" fontId="15" fillId="0" borderId="0" xfId="0" applyFont="1" applyAlignment="1">
      <alignment horizontal="center"/>
    </xf>
    <xf numFmtId="2" fontId="15" fillId="7" borderId="0" xfId="0" applyNumberFormat="1" applyFont="1" applyFill="1" applyAlignment="1">
      <alignment horizontal="left"/>
    </xf>
    <xf numFmtId="1" fontId="15" fillId="7" borderId="0" xfId="0" applyNumberFormat="1" applyFont="1" applyFill="1" applyAlignment="1">
      <alignment horizontal="center"/>
    </xf>
    <xf numFmtId="0" fontId="15" fillId="0" borderId="15" xfId="0" applyFont="1" applyBorder="1" applyAlignment="1">
      <alignment horizontal="center"/>
    </xf>
    <xf numFmtId="0" fontId="15" fillId="0" borderId="15" xfId="0" applyFont="1" applyBorder="1"/>
    <xf numFmtId="0" fontId="15" fillId="0" borderId="56" xfId="0" applyFont="1" applyBorder="1"/>
    <xf numFmtId="0" fontId="15" fillId="7" borderId="1" xfId="0" applyFont="1" applyFill="1" applyBorder="1" applyAlignment="1">
      <alignment horizontal="center" wrapText="1"/>
    </xf>
    <xf numFmtId="0" fontId="15" fillId="0" borderId="16" xfId="0" applyFont="1" applyBorder="1" applyAlignment="1">
      <alignment horizontal="center"/>
    </xf>
    <xf numFmtId="9" fontId="15" fillId="0" borderId="16" xfId="1" applyFont="1" applyBorder="1" applyAlignment="1">
      <alignment horizontal="center"/>
    </xf>
    <xf numFmtId="9" fontId="15" fillId="0" borderId="56" xfId="1" applyFont="1" applyBorder="1" applyAlignment="1">
      <alignment horizontal="center"/>
    </xf>
    <xf numFmtId="2" fontId="15" fillId="7" borderId="1" xfId="0" applyNumberFormat="1" applyFont="1" applyFill="1" applyBorder="1" applyAlignment="1">
      <alignment horizontal="center"/>
    </xf>
    <xf numFmtId="1" fontId="17" fillId="7" borderId="1" xfId="0" applyNumberFormat="1" applyFont="1" applyFill="1" applyBorder="1" applyAlignment="1">
      <alignment horizontal="center"/>
    </xf>
    <xf numFmtId="0" fontId="15" fillId="0" borderId="56" xfId="0" applyFont="1" applyBorder="1" applyAlignment="1">
      <alignment horizontal="left"/>
    </xf>
    <xf numFmtId="9" fontId="15" fillId="0" borderId="0" xfId="1" applyFont="1" applyAlignment="1">
      <alignment horizontal="center"/>
    </xf>
    <xf numFmtId="0" fontId="0" fillId="0" borderId="64" xfId="0" applyBorder="1" applyAlignment="1">
      <alignment wrapText="1"/>
    </xf>
    <xf numFmtId="0" fontId="18" fillId="0" borderId="0" xfId="0" applyFont="1" applyAlignment="1">
      <alignment vertical="center"/>
    </xf>
    <xf numFmtId="0" fontId="18" fillId="0" borderId="0" xfId="0" applyFont="1" applyAlignment="1">
      <alignment horizontal="left" vertical="center" indent="1"/>
    </xf>
    <xf numFmtId="0" fontId="0" fillId="3" borderId="42" xfId="0" applyFill="1" applyBorder="1" applyAlignment="1">
      <alignment horizontal="right"/>
    </xf>
    <xf numFmtId="0" fontId="0" fillId="3" borderId="2" xfId="0" applyFill="1" applyBorder="1" applyAlignment="1">
      <alignment horizontal="right"/>
    </xf>
    <xf numFmtId="0" fontId="2" fillId="0" borderId="0" xfId="0" applyFont="1" applyBorder="1" applyAlignment="1"/>
    <xf numFmtId="0" fontId="0" fillId="0" borderId="42" xfId="0" applyBorder="1"/>
    <xf numFmtId="0" fontId="0" fillId="4" borderId="18" xfId="0" applyFill="1" applyBorder="1" applyAlignment="1">
      <alignment horizontal="center"/>
    </xf>
    <xf numFmtId="0" fontId="15" fillId="0" borderId="2" xfId="0" applyFont="1" applyBorder="1" applyAlignment="1">
      <alignment horizontal="left"/>
    </xf>
    <xf numFmtId="0" fontId="0" fillId="0" borderId="2" xfId="0" applyBorder="1"/>
    <xf numFmtId="0" fontId="0" fillId="4" borderId="43" xfId="0" applyFill="1" applyBorder="1" applyAlignment="1">
      <alignment horizontal="center"/>
    </xf>
    <xf numFmtId="0" fontId="0" fillId="0" borderId="68" xfId="0" applyBorder="1"/>
    <xf numFmtId="0" fontId="15" fillId="0" borderId="42" xfId="0" applyFont="1" applyBorder="1" applyAlignment="1">
      <alignment horizontal="left"/>
    </xf>
    <xf numFmtId="2" fontId="0" fillId="0" borderId="16" xfId="0" applyNumberFormat="1" applyFill="1" applyBorder="1"/>
    <xf numFmtId="0" fontId="15" fillId="0" borderId="47" xfId="0" applyFont="1" applyBorder="1" applyAlignment="1">
      <alignment horizontal="left"/>
    </xf>
    <xf numFmtId="0" fontId="0" fillId="0" borderId="48" xfId="0" applyBorder="1"/>
    <xf numFmtId="0" fontId="0" fillId="4" borderId="50" xfId="0" applyFill="1" applyBorder="1" applyAlignment="1">
      <alignment horizontal="center"/>
    </xf>
    <xf numFmtId="0" fontId="0" fillId="0" borderId="69" xfId="0" applyBorder="1"/>
    <xf numFmtId="0" fontId="0" fillId="0" borderId="47" xfId="0" applyBorder="1"/>
    <xf numFmtId="2" fontId="0" fillId="0" borderId="69" xfId="0" applyNumberFormat="1" applyBorder="1"/>
    <xf numFmtId="1" fontId="0" fillId="4" borderId="70" xfId="0" applyNumberFormat="1" applyFill="1" applyBorder="1" applyAlignment="1">
      <alignment horizontal="center"/>
    </xf>
    <xf numFmtId="0" fontId="9" fillId="0" borderId="66" xfId="0" applyFont="1" applyBorder="1" applyAlignment="1">
      <alignment horizontal="left" wrapText="1"/>
    </xf>
    <xf numFmtId="0" fontId="0" fillId="0" borderId="65" xfId="0" applyBorder="1" applyAlignment="1">
      <alignment horizontal="center"/>
    </xf>
    <xf numFmtId="16" fontId="0" fillId="0" borderId="65" xfId="0" applyNumberFormat="1" applyBorder="1" applyAlignment="1">
      <alignment horizontal="center"/>
    </xf>
    <xf numFmtId="0" fontId="0" fillId="0" borderId="65" xfId="0" applyFill="1" applyBorder="1" applyAlignment="1">
      <alignment horizontal="center"/>
    </xf>
    <xf numFmtId="0" fontId="0" fillId="4" borderId="67" xfId="0" applyFill="1" applyBorder="1" applyAlignment="1">
      <alignment horizontal="center"/>
    </xf>
    <xf numFmtId="0" fontId="9" fillId="0" borderId="66" xfId="0" applyFont="1" applyBorder="1"/>
    <xf numFmtId="0" fontId="0" fillId="0" borderId="65" xfId="0" applyBorder="1"/>
    <xf numFmtId="2" fontId="0" fillId="0" borderId="65" xfId="0" applyNumberFormat="1" applyFill="1" applyBorder="1"/>
    <xf numFmtId="0" fontId="0" fillId="0" borderId="61" xfId="0" applyBorder="1" applyAlignment="1">
      <alignment wrapText="1"/>
    </xf>
    <xf numFmtId="0" fontId="0" fillId="0" borderId="62" xfId="0" applyBorder="1" applyAlignment="1">
      <alignment horizontal="center"/>
    </xf>
    <xf numFmtId="0" fontId="0" fillId="0" borderId="63" xfId="0" quotePrefix="1" applyBorder="1" applyAlignment="1">
      <alignment horizontal="center"/>
    </xf>
    <xf numFmtId="0" fontId="1" fillId="0" borderId="64" xfId="0" applyFont="1" applyBorder="1" applyAlignment="1">
      <alignment horizontal="center"/>
    </xf>
    <xf numFmtId="0" fontId="2" fillId="0" borderId="12" xfId="0" applyFont="1" applyBorder="1"/>
    <xf numFmtId="0" fontId="9" fillId="0" borderId="44" xfId="0" applyFont="1" applyBorder="1" applyAlignment="1">
      <alignment horizontal="left" wrapText="1"/>
    </xf>
    <xf numFmtId="0" fontId="9" fillId="0" borderId="44" xfId="0" applyFont="1" applyBorder="1"/>
    <xf numFmtId="0" fontId="0" fillId="0" borderId="20" xfId="0" applyBorder="1"/>
    <xf numFmtId="0" fontId="0" fillId="0" borderId="64" xfId="0" applyBorder="1"/>
    <xf numFmtId="0" fontId="0" fillId="0" borderId="72" xfId="0" applyBorder="1"/>
    <xf numFmtId="0" fontId="0" fillId="0" borderId="73" xfId="0" quotePrefix="1" applyBorder="1" applyAlignment="1">
      <alignment horizontal="center"/>
    </xf>
    <xf numFmtId="0" fontId="0" fillId="0" borderId="44" xfId="0" applyBorder="1" applyAlignment="1">
      <alignment horizontal="center" wrapText="1"/>
    </xf>
    <xf numFmtId="0" fontId="0" fillId="0" borderId="44" xfId="0" quotePrefix="1" applyBorder="1" applyAlignment="1">
      <alignment horizontal="center"/>
    </xf>
    <xf numFmtId="0" fontId="15" fillId="0" borderId="74" xfId="0" applyFont="1" applyBorder="1" applyAlignment="1">
      <alignment horizontal="left"/>
    </xf>
    <xf numFmtId="0" fontId="15" fillId="0" borderId="10" xfId="0" applyFont="1" applyBorder="1" applyAlignment="1">
      <alignment horizontal="left"/>
    </xf>
    <xf numFmtId="0" fontId="15" fillId="0" borderId="39" xfId="0" applyFont="1" applyBorder="1" applyAlignment="1">
      <alignment horizontal="left"/>
    </xf>
    <xf numFmtId="0" fontId="0" fillId="4" borderId="5" xfId="0" applyFill="1" applyBorder="1" applyAlignment="1">
      <alignment horizontal="center"/>
    </xf>
    <xf numFmtId="0" fontId="0" fillId="4" borderId="6" xfId="0" applyFill="1" applyBorder="1" applyAlignment="1">
      <alignment horizontal="center"/>
    </xf>
    <xf numFmtId="0" fontId="0" fillId="4" borderId="74" xfId="0" applyFill="1" applyBorder="1" applyAlignment="1">
      <alignment horizontal="center"/>
    </xf>
    <xf numFmtId="0" fontId="0" fillId="4" borderId="11" xfId="0" applyFill="1" applyBorder="1" applyAlignment="1">
      <alignment horizontal="center"/>
    </xf>
    <xf numFmtId="0" fontId="0" fillId="4" borderId="73" xfId="0" applyFill="1" applyBorder="1" applyAlignment="1">
      <alignment horizontal="center"/>
    </xf>
    <xf numFmtId="0" fontId="1" fillId="0" borderId="71" xfId="0" applyFont="1" applyBorder="1" applyAlignment="1">
      <alignment horizontal="center"/>
    </xf>
    <xf numFmtId="0" fontId="6" fillId="0" borderId="0" xfId="0" applyFont="1" applyFill="1"/>
    <xf numFmtId="0" fontId="15" fillId="0" borderId="0" xfId="0" applyFont="1" applyBorder="1" applyAlignment="1">
      <alignment horizontal="left"/>
    </xf>
    <xf numFmtId="0" fontId="0" fillId="0" borderId="75" xfId="0" applyFill="1" applyBorder="1"/>
    <xf numFmtId="0" fontId="15" fillId="0" borderId="56" xfId="0" applyFont="1" applyBorder="1" applyAlignment="1">
      <alignment horizontal="center"/>
    </xf>
    <xf numFmtId="0" fontId="15" fillId="0" borderId="28" xfId="0" applyFont="1" applyBorder="1"/>
    <xf numFmtId="0" fontId="15" fillId="0" borderId="29" xfId="0" applyFont="1" applyBorder="1" applyAlignment="1">
      <alignment horizontal="center"/>
    </xf>
    <xf numFmtId="9" fontId="15" fillId="0" borderId="30" xfId="1" applyFont="1" applyBorder="1" applyAlignment="1">
      <alignment horizontal="center"/>
    </xf>
    <xf numFmtId="0" fontId="15" fillId="0" borderId="28" xfId="0" applyFont="1" applyBorder="1" applyAlignment="1">
      <alignment horizontal="center"/>
    </xf>
    <xf numFmtId="0" fontId="15" fillId="0" borderId="29" xfId="0" applyFont="1" applyBorder="1"/>
    <xf numFmtId="0" fontId="15" fillId="0" borderId="30" xfId="0" applyFont="1" applyBorder="1" applyAlignment="1">
      <alignment horizontal="center"/>
    </xf>
    <xf numFmtId="2" fontId="15" fillId="7" borderId="48" xfId="0" applyNumberFormat="1" applyFont="1" applyFill="1" applyBorder="1" applyAlignment="1">
      <alignment horizontal="center"/>
    </xf>
    <xf numFmtId="1" fontId="17" fillId="7" borderId="48" xfId="0" applyNumberFormat="1" applyFont="1" applyFill="1" applyBorder="1" applyAlignment="1">
      <alignment horizontal="center"/>
    </xf>
    <xf numFmtId="1" fontId="15" fillId="7" borderId="28" xfId="0" applyNumberFormat="1" applyFont="1" applyFill="1" applyBorder="1" applyAlignment="1">
      <alignment horizontal="center"/>
    </xf>
    <xf numFmtId="1" fontId="15" fillId="7" borderId="29" xfId="0" applyNumberFormat="1" applyFont="1" applyFill="1" applyBorder="1" applyAlignment="1">
      <alignment horizontal="center"/>
    </xf>
    <xf numFmtId="1" fontId="17" fillId="7" borderId="30" xfId="0" applyNumberFormat="1" applyFont="1" applyFill="1" applyBorder="1" applyAlignment="1">
      <alignment horizontal="center"/>
    </xf>
    <xf numFmtId="0" fontId="1" fillId="2" borderId="0" xfId="0" applyFont="1" applyFill="1" applyAlignment="1">
      <alignment horizontal="center" vertical="center"/>
    </xf>
    <xf numFmtId="1" fontId="0" fillId="3" borderId="2" xfId="0" applyNumberFormat="1" applyFill="1" applyBorder="1"/>
    <xf numFmtId="1" fontId="0" fillId="3" borderId="1" xfId="0" applyNumberFormat="1" applyFill="1" applyBorder="1"/>
    <xf numFmtId="1" fontId="0" fillId="3" borderId="18" xfId="0" applyNumberFormat="1" applyFill="1" applyBorder="1"/>
    <xf numFmtId="1" fontId="0" fillId="3" borderId="22" xfId="0" applyNumberFormat="1" applyFill="1" applyBorder="1"/>
    <xf numFmtId="1" fontId="0" fillId="3" borderId="23" xfId="0" applyNumberFormat="1" applyFill="1" applyBorder="1"/>
    <xf numFmtId="1" fontId="0" fillId="3" borderId="24" xfId="0" applyNumberFormat="1" applyFill="1" applyBorder="1"/>
    <xf numFmtId="0" fontId="0" fillId="0" borderId="67" xfId="0" applyBorder="1"/>
    <xf numFmtId="0" fontId="0" fillId="0" borderId="19" xfId="0" applyBorder="1"/>
    <xf numFmtId="0" fontId="0" fillId="0" borderId="77" xfId="0" applyBorder="1"/>
    <xf numFmtId="0" fontId="0" fillId="0" borderId="78" xfId="0" applyBorder="1"/>
    <xf numFmtId="0" fontId="0" fillId="0" borderId="79" xfId="0" applyBorder="1" applyAlignment="1">
      <alignment horizontal="center" wrapText="1"/>
    </xf>
    <xf numFmtId="16" fontId="0" fillId="0" borderId="79" xfId="0" applyNumberFormat="1" applyBorder="1" applyAlignment="1">
      <alignment horizontal="center" wrapText="1"/>
    </xf>
    <xf numFmtId="0" fontId="0" fillId="0" borderId="80" xfId="0" applyBorder="1" applyAlignment="1">
      <alignment horizontal="center"/>
    </xf>
    <xf numFmtId="0" fontId="0" fillId="0" borderId="81" xfId="0" applyBorder="1" applyAlignment="1">
      <alignment horizontal="center" wrapText="1"/>
    </xf>
    <xf numFmtId="0" fontId="0" fillId="4" borderId="82" xfId="0" applyFill="1" applyBorder="1" applyAlignment="1">
      <alignment horizontal="center" wrapText="1"/>
    </xf>
    <xf numFmtId="0" fontId="0" fillId="5" borderId="18" xfId="0" applyFill="1" applyBorder="1"/>
    <xf numFmtId="1" fontId="0" fillId="5" borderId="2" xfId="0" applyNumberFormat="1" applyFill="1" applyBorder="1"/>
    <xf numFmtId="1" fontId="0" fillId="5" borderId="1" xfId="0" applyNumberFormat="1" applyFill="1" applyBorder="1"/>
    <xf numFmtId="1" fontId="0" fillId="5" borderId="18" xfId="0" applyNumberFormat="1" applyFill="1" applyBorder="1"/>
    <xf numFmtId="1" fontId="8" fillId="5" borderId="18" xfId="0" applyNumberFormat="1" applyFont="1" applyFill="1" applyBorder="1"/>
    <xf numFmtId="1" fontId="8" fillId="5" borderId="2" xfId="0" applyNumberFormat="1" applyFont="1" applyFill="1" applyBorder="1"/>
    <xf numFmtId="1" fontId="8" fillId="5" borderId="1" xfId="0" applyNumberFormat="1" applyFont="1" applyFill="1" applyBorder="1"/>
    <xf numFmtId="0" fontId="0" fillId="5" borderId="50" xfId="0" applyFill="1" applyBorder="1"/>
    <xf numFmtId="0" fontId="0" fillId="5" borderId="24" xfId="0" applyFill="1" applyBorder="1"/>
    <xf numFmtId="1" fontId="0" fillId="5" borderId="22" xfId="0" applyNumberFormat="1" applyFill="1" applyBorder="1"/>
    <xf numFmtId="1" fontId="0" fillId="5" borderId="23" xfId="0" applyNumberFormat="1" applyFill="1" applyBorder="1"/>
    <xf numFmtId="1" fontId="0" fillId="5" borderId="24" xfId="0" applyNumberFormat="1" applyFill="1" applyBorder="1"/>
    <xf numFmtId="0" fontId="0" fillId="4" borderId="43" xfId="0" applyFill="1" applyBorder="1" applyAlignment="1">
      <alignment horizontal="right"/>
    </xf>
    <xf numFmtId="0" fontId="3" fillId="4" borderId="18" xfId="0" applyFont="1" applyFill="1" applyBorder="1" applyAlignment="1">
      <alignment horizontal="right"/>
    </xf>
    <xf numFmtId="0" fontId="0" fillId="4" borderId="18" xfId="0" applyFill="1" applyBorder="1" applyAlignment="1">
      <alignment horizontal="right"/>
    </xf>
    <xf numFmtId="0" fontId="0" fillId="4" borderId="18" xfId="0" applyFont="1" applyFill="1" applyBorder="1" applyAlignment="1">
      <alignment horizontal="right"/>
    </xf>
    <xf numFmtId="0" fontId="0" fillId="4" borderId="50" xfId="0" applyFill="1" applyBorder="1" applyAlignment="1">
      <alignment horizontal="right"/>
    </xf>
    <xf numFmtId="0" fontId="0" fillId="4" borderId="24" xfId="0" applyFill="1" applyBorder="1" applyAlignment="1">
      <alignment horizontal="right"/>
    </xf>
    <xf numFmtId="0" fontId="1" fillId="0" borderId="0" xfId="0" applyFont="1" applyFill="1" applyBorder="1" applyAlignment="1">
      <alignment horizontal="center" vertical="center" wrapText="1"/>
    </xf>
    <xf numFmtId="0" fontId="0" fillId="5" borderId="43" xfId="0" applyFill="1" applyBorder="1"/>
    <xf numFmtId="1" fontId="0" fillId="5" borderId="42" xfId="0" applyNumberFormat="1" applyFill="1" applyBorder="1"/>
    <xf numFmtId="1" fontId="0" fillId="5" borderId="16" xfId="0" applyNumberFormat="1" applyFill="1" applyBorder="1"/>
    <xf numFmtId="1" fontId="0" fillId="5" borderId="43" xfId="0" applyNumberFormat="1" applyFill="1" applyBorder="1"/>
    <xf numFmtId="0" fontId="1" fillId="5" borderId="83"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84" xfId="0" applyFont="1" applyFill="1" applyBorder="1" applyAlignment="1">
      <alignment horizontal="center" vertical="center" wrapText="1"/>
    </xf>
    <xf numFmtId="0" fontId="0" fillId="3" borderId="42" xfId="0" applyFill="1" applyBorder="1"/>
    <xf numFmtId="0" fontId="0" fillId="3" borderId="43" xfId="0" applyFill="1" applyBorder="1"/>
    <xf numFmtId="1" fontId="0" fillId="3" borderId="42" xfId="0" applyNumberFormat="1" applyFill="1" applyBorder="1"/>
    <xf numFmtId="1" fontId="0" fillId="3" borderId="16" xfId="0" applyNumberFormat="1" applyFill="1" applyBorder="1"/>
    <xf numFmtId="1" fontId="0" fillId="3" borderId="43" xfId="0" applyNumberFormat="1" applyFill="1" applyBorder="1"/>
    <xf numFmtId="0" fontId="1" fillId="3" borderId="83"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6" borderId="83"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84" xfId="0" applyFont="1" applyFill="1" applyBorder="1" applyAlignment="1">
      <alignment horizontal="center" vertical="center" wrapText="1"/>
    </xf>
    <xf numFmtId="0" fontId="1" fillId="3" borderId="85" xfId="0" applyFont="1" applyFill="1" applyBorder="1" applyAlignment="1">
      <alignment horizontal="center" vertical="center" wrapText="1"/>
    </xf>
    <xf numFmtId="0" fontId="1" fillId="4" borderId="86" xfId="0" applyFont="1" applyFill="1" applyBorder="1" applyAlignment="1">
      <alignment horizontal="center" wrapText="1"/>
    </xf>
    <xf numFmtId="0" fontId="1" fillId="0" borderId="0" xfId="0" applyFont="1" applyBorder="1" applyAlignment="1">
      <alignment horizontal="center" vertical="center" wrapText="1"/>
    </xf>
    <xf numFmtId="0" fontId="0" fillId="0" borderId="0" xfId="0" applyFill="1" applyBorder="1" applyAlignment="1">
      <alignment wrapText="1"/>
    </xf>
    <xf numFmtId="0" fontId="0" fillId="0" borderId="0" xfId="0" applyFill="1" applyBorder="1" applyAlignment="1">
      <alignment horizontal="left" vertical="center" wrapText="1"/>
    </xf>
    <xf numFmtId="0" fontId="2" fillId="0" borderId="60" xfId="0" applyFont="1" applyBorder="1" applyAlignment="1">
      <alignment horizontal="center" wrapText="1"/>
    </xf>
    <xf numFmtId="0" fontId="2" fillId="0" borderId="44" xfId="0" applyFont="1" applyBorder="1" applyAlignment="1">
      <alignment horizontal="center"/>
    </xf>
    <xf numFmtId="0" fontId="2" fillId="0" borderId="61" xfId="0" applyFont="1" applyBorder="1" applyAlignment="1">
      <alignment horizontal="center"/>
    </xf>
    <xf numFmtId="0" fontId="0" fillId="0" borderId="0" xfId="0" applyFill="1" applyBorder="1" applyAlignment="1">
      <alignment vertical="center" wrapText="1"/>
    </xf>
    <xf numFmtId="0" fontId="0" fillId="0" borderId="0" xfId="0" applyFill="1" applyAlignment="1">
      <alignment wrapText="1"/>
    </xf>
    <xf numFmtId="0" fontId="0" fillId="0" borderId="0" xfId="0" applyAlignment="1">
      <alignment horizontal="center" wrapText="1"/>
    </xf>
    <xf numFmtId="0" fontId="1" fillId="5" borderId="17" xfId="0" applyFont="1" applyFill="1" applyBorder="1" applyAlignment="1">
      <alignment horizontal="center" vertical="center" wrapText="1"/>
    </xf>
    <xf numFmtId="0" fontId="1" fillId="5" borderId="76" xfId="0" applyFont="1" applyFill="1" applyBorder="1" applyAlignment="1">
      <alignment horizontal="center" vertical="center" wrapText="1"/>
    </xf>
    <xf numFmtId="0" fontId="1" fillId="5" borderId="86" xfId="0" applyFont="1" applyFill="1" applyBorder="1" applyAlignment="1">
      <alignment horizontal="center" vertical="center" wrapText="1"/>
    </xf>
    <xf numFmtId="0" fontId="1" fillId="5" borderId="87" xfId="0" applyFont="1" applyFill="1" applyBorder="1" applyAlignment="1">
      <alignment horizontal="center" vertical="center" wrapText="1"/>
    </xf>
    <xf numFmtId="0" fontId="1" fillId="0" borderId="88" xfId="0" applyFont="1" applyBorder="1" applyAlignment="1">
      <alignment horizontal="center" vertical="center" wrapText="1"/>
    </xf>
    <xf numFmtId="0" fontId="1" fillId="0" borderId="39" xfId="0" applyFont="1" applyBorder="1" applyAlignment="1">
      <alignment horizontal="center" vertical="center" wrapText="1"/>
    </xf>
    <xf numFmtId="0" fontId="2" fillId="0" borderId="0" xfId="0" applyFont="1" applyBorder="1" applyAlignment="1">
      <alignment horizontal="left" vertical="center"/>
    </xf>
    <xf numFmtId="0" fontId="1" fillId="0" borderId="20" xfId="0" applyFont="1" applyFill="1" applyBorder="1" applyAlignment="1">
      <alignment horizont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7" xfId="0" applyFont="1" applyFill="1" applyBorder="1" applyAlignment="1">
      <alignment horizontal="center" vertical="center" wrapText="1"/>
    </xf>
    <xf numFmtId="0" fontId="1" fillId="3" borderId="7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0" fillId="0" borderId="0" xfId="0" applyFill="1" applyBorder="1" applyAlignment="1">
      <alignment horizontal="left" wrapText="1"/>
    </xf>
    <xf numFmtId="0" fontId="2" fillId="0" borderId="0" xfId="0" applyFont="1" applyAlignment="1">
      <alignment horizontal="center"/>
    </xf>
    <xf numFmtId="0" fontId="1" fillId="0" borderId="3"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6" fillId="0" borderId="57" xfId="0" applyFont="1" applyBorder="1" applyAlignment="1">
      <alignment horizontal="left"/>
    </xf>
    <xf numFmtId="0" fontId="6" fillId="0" borderId="58" xfId="0" applyFont="1" applyBorder="1" applyAlignment="1">
      <alignment horizontal="left"/>
    </xf>
    <xf numFmtId="0" fontId="6" fillId="0" borderId="59" xfId="0" applyFont="1" applyBorder="1" applyAlignment="1">
      <alignment horizontal="left"/>
    </xf>
    <xf numFmtId="0" fontId="2" fillId="0" borderId="0" xfId="0" applyFont="1" applyBorder="1" applyAlignment="1">
      <alignment horizontal="center"/>
    </xf>
    <xf numFmtId="0" fontId="2" fillId="0" borderId="60" xfId="0" applyFont="1" applyBorder="1" applyAlignment="1"/>
    <xf numFmtId="0" fontId="2" fillId="0" borderId="44" xfId="0" applyFont="1" applyBorder="1" applyAlignment="1"/>
    <xf numFmtId="0" fontId="2" fillId="0" borderId="61" xfId="0" applyFont="1" applyBorder="1" applyAlignment="1"/>
    <xf numFmtId="1" fontId="1" fillId="0" borderId="0" xfId="0" applyNumberFormat="1" applyFont="1" applyAlignment="1">
      <alignment horizontal="center"/>
    </xf>
    <xf numFmtId="0" fontId="1" fillId="0" borderId="6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tabSelected="1" zoomScaleNormal="100" zoomScaleSheetLayoutView="80" workbookViewId="0">
      <selection activeCell="H42" sqref="H42"/>
    </sheetView>
  </sheetViews>
  <sheetFormatPr defaultRowHeight="15" x14ac:dyDescent="0.25"/>
  <cols>
    <col min="1" max="1" width="3.5703125" customWidth="1"/>
    <col min="2" max="2" width="39.28515625" customWidth="1"/>
    <col min="3" max="5" width="17.28515625" customWidth="1"/>
    <col min="6" max="6" width="16.140625" customWidth="1"/>
    <col min="7" max="7" width="41.28515625" bestFit="1" customWidth="1"/>
    <col min="8" max="8" width="12.7109375" style="70" customWidth="1"/>
    <col min="9" max="9" width="12" style="70" customWidth="1"/>
    <col min="10" max="10" width="13.28515625" style="70" bestFit="1" customWidth="1"/>
    <col min="11" max="11" width="12.85546875" customWidth="1"/>
  </cols>
  <sheetData>
    <row r="1" spans="1:10" ht="9.6" customHeight="1" x14ac:dyDescent="0.25"/>
    <row r="2" spans="1:10" ht="15.75" thickBot="1" x14ac:dyDescent="0.3">
      <c r="B2" t="s">
        <v>52</v>
      </c>
      <c r="C2" s="18" t="s">
        <v>131</v>
      </c>
    </row>
    <row r="3" spans="1:10" ht="44.45" customHeight="1" thickBot="1" x14ac:dyDescent="0.4">
      <c r="A3" s="170"/>
      <c r="B3" s="257" t="s">
        <v>141</v>
      </c>
      <c r="C3" s="258"/>
      <c r="D3" s="258"/>
      <c r="E3" s="258"/>
      <c r="F3" s="259"/>
    </row>
    <row r="4" spans="1:10" ht="46.15" customHeight="1" thickBot="1" x14ac:dyDescent="0.4">
      <c r="A4" s="170"/>
      <c r="B4" s="166"/>
      <c r="C4" s="21" t="s">
        <v>51</v>
      </c>
      <c r="D4" s="12" t="s">
        <v>9</v>
      </c>
      <c r="E4" s="17" t="s">
        <v>58</v>
      </c>
      <c r="F4" s="16" t="s">
        <v>140</v>
      </c>
      <c r="G4" s="296" t="s">
        <v>170</v>
      </c>
    </row>
    <row r="5" spans="1:10" s="77" customFormat="1" ht="16.5" thickTop="1" thickBot="1" x14ac:dyDescent="0.3">
      <c r="A5" s="133"/>
      <c r="B5" s="167" t="s">
        <v>129</v>
      </c>
      <c r="C5" s="173"/>
      <c r="D5" s="173"/>
      <c r="E5" s="162"/>
      <c r="F5" s="162"/>
      <c r="H5" s="78"/>
      <c r="I5" s="78"/>
      <c r="J5" s="79"/>
    </row>
    <row r="6" spans="1:10" x14ac:dyDescent="0.25">
      <c r="A6" s="170"/>
      <c r="B6" s="175" t="s">
        <v>100</v>
      </c>
      <c r="C6" s="10">
        <v>32</v>
      </c>
      <c r="D6" s="13" t="s">
        <v>3</v>
      </c>
      <c r="E6" s="178">
        <v>0</v>
      </c>
      <c r="F6" s="19">
        <f>C6+E6</f>
        <v>32</v>
      </c>
    </row>
    <row r="7" spans="1:10" x14ac:dyDescent="0.25">
      <c r="A7" s="170"/>
      <c r="B7" s="176" t="s">
        <v>101</v>
      </c>
      <c r="C7" s="10">
        <v>126</v>
      </c>
      <c r="D7" s="13" t="s">
        <v>3</v>
      </c>
      <c r="E7" s="71">
        <v>3</v>
      </c>
      <c r="F7" s="19">
        <f t="shared" ref="F7:F21" si="0">C7+E7</f>
        <v>129</v>
      </c>
      <c r="G7" t="s">
        <v>173</v>
      </c>
    </row>
    <row r="8" spans="1:10" x14ac:dyDescent="0.25">
      <c r="A8" s="170"/>
      <c r="B8" s="176" t="s">
        <v>102</v>
      </c>
      <c r="C8" s="10">
        <v>24</v>
      </c>
      <c r="D8" s="13" t="s">
        <v>3</v>
      </c>
      <c r="E8" s="71">
        <v>0</v>
      </c>
      <c r="F8" s="19">
        <f t="shared" si="0"/>
        <v>24</v>
      </c>
    </row>
    <row r="9" spans="1:10" x14ac:dyDescent="0.25">
      <c r="A9" s="170"/>
      <c r="B9" s="176" t="s">
        <v>103</v>
      </c>
      <c r="C9" s="10">
        <v>12</v>
      </c>
      <c r="D9" s="13" t="s">
        <v>3</v>
      </c>
      <c r="E9" s="71">
        <v>0</v>
      </c>
      <c r="F9" s="19">
        <f t="shared" si="0"/>
        <v>12</v>
      </c>
    </row>
    <row r="10" spans="1:10" x14ac:dyDescent="0.25">
      <c r="A10" s="170"/>
      <c r="B10" s="176" t="s">
        <v>104</v>
      </c>
      <c r="C10" s="10">
        <v>74</v>
      </c>
      <c r="D10" s="13" t="s">
        <v>3</v>
      </c>
      <c r="E10" s="71">
        <v>0</v>
      </c>
      <c r="F10" s="19">
        <f t="shared" si="0"/>
        <v>74</v>
      </c>
    </row>
    <row r="11" spans="1:10" x14ac:dyDescent="0.25">
      <c r="A11" s="170"/>
      <c r="B11" s="176" t="s">
        <v>105</v>
      </c>
      <c r="C11" s="10">
        <v>47</v>
      </c>
      <c r="D11" s="13" t="s">
        <v>3</v>
      </c>
      <c r="E11" s="71">
        <v>0</v>
      </c>
      <c r="F11" s="19">
        <f t="shared" si="0"/>
        <v>47</v>
      </c>
    </row>
    <row r="12" spans="1:10" x14ac:dyDescent="0.25">
      <c r="A12" s="170"/>
      <c r="B12" s="176" t="s">
        <v>106</v>
      </c>
      <c r="C12" s="10">
        <v>25</v>
      </c>
      <c r="D12" s="13" t="s">
        <v>3</v>
      </c>
      <c r="E12" s="71">
        <v>0</v>
      </c>
      <c r="F12" s="19">
        <f t="shared" si="0"/>
        <v>25</v>
      </c>
    </row>
    <row r="13" spans="1:10" x14ac:dyDescent="0.25">
      <c r="A13" s="170"/>
      <c r="B13" s="176" t="s">
        <v>107</v>
      </c>
      <c r="C13" s="10">
        <v>5</v>
      </c>
      <c r="D13" s="13" t="s">
        <v>3</v>
      </c>
      <c r="E13" s="71">
        <v>0</v>
      </c>
      <c r="F13" s="19">
        <f t="shared" si="0"/>
        <v>5</v>
      </c>
    </row>
    <row r="14" spans="1:10" x14ac:dyDescent="0.25">
      <c r="A14" s="170"/>
      <c r="B14" s="176" t="s">
        <v>108</v>
      </c>
      <c r="C14" s="10">
        <v>41</v>
      </c>
      <c r="D14" s="13" t="s">
        <v>3</v>
      </c>
      <c r="E14" s="71">
        <v>0</v>
      </c>
      <c r="F14" s="19">
        <f t="shared" si="0"/>
        <v>41</v>
      </c>
    </row>
    <row r="15" spans="1:10" x14ac:dyDescent="0.25">
      <c r="A15" s="170"/>
      <c r="B15" s="176" t="s">
        <v>109</v>
      </c>
      <c r="C15" s="10">
        <v>104</v>
      </c>
      <c r="D15" s="13" t="s">
        <v>3</v>
      </c>
      <c r="E15" s="71">
        <v>0</v>
      </c>
      <c r="F15" s="19">
        <f t="shared" si="0"/>
        <v>104</v>
      </c>
    </row>
    <row r="16" spans="1:10" x14ac:dyDescent="0.25">
      <c r="A16" s="170"/>
      <c r="B16" s="176" t="s">
        <v>110</v>
      </c>
      <c r="C16" s="10">
        <v>73</v>
      </c>
      <c r="D16" s="13" t="s">
        <v>3</v>
      </c>
      <c r="E16" s="71">
        <v>2</v>
      </c>
      <c r="F16" s="19">
        <f t="shared" si="0"/>
        <v>75</v>
      </c>
    </row>
    <row r="17" spans="1:7" x14ac:dyDescent="0.25">
      <c r="A17" s="170"/>
      <c r="B17" s="176" t="s">
        <v>111</v>
      </c>
      <c r="C17" s="10">
        <v>240</v>
      </c>
      <c r="D17" s="13" t="s">
        <v>3</v>
      </c>
      <c r="E17" s="71">
        <v>0</v>
      </c>
      <c r="F17" s="19">
        <f t="shared" si="0"/>
        <v>240</v>
      </c>
      <c r="G17" t="s">
        <v>174</v>
      </c>
    </row>
    <row r="18" spans="1:7" x14ac:dyDescent="0.25">
      <c r="A18" s="170"/>
      <c r="B18" s="176" t="s">
        <v>112</v>
      </c>
      <c r="C18" s="10">
        <v>44</v>
      </c>
      <c r="D18" s="13" t="s">
        <v>3</v>
      </c>
      <c r="E18" s="71">
        <v>2</v>
      </c>
      <c r="F18" s="19">
        <f t="shared" si="0"/>
        <v>46</v>
      </c>
      <c r="G18" t="s">
        <v>171</v>
      </c>
    </row>
    <row r="19" spans="1:7" x14ac:dyDescent="0.25">
      <c r="A19" s="170"/>
      <c r="B19" s="176" t="s">
        <v>113</v>
      </c>
      <c r="C19" s="10">
        <v>79</v>
      </c>
      <c r="D19" s="13" t="s">
        <v>3</v>
      </c>
      <c r="E19" s="71">
        <v>5</v>
      </c>
      <c r="F19" s="19">
        <f t="shared" si="0"/>
        <v>84</v>
      </c>
    </row>
    <row r="20" spans="1:7" x14ac:dyDescent="0.25">
      <c r="A20" s="170"/>
      <c r="B20" s="176" t="s">
        <v>114</v>
      </c>
      <c r="C20" s="10">
        <v>13</v>
      </c>
      <c r="D20" s="13" t="s">
        <v>3</v>
      </c>
      <c r="E20" s="71">
        <v>0</v>
      </c>
      <c r="F20" s="19">
        <f t="shared" si="0"/>
        <v>13</v>
      </c>
    </row>
    <row r="21" spans="1:7" ht="15.75" thickBot="1" x14ac:dyDescent="0.3">
      <c r="A21" s="170"/>
      <c r="B21" s="177" t="s">
        <v>115</v>
      </c>
      <c r="C21" s="163">
        <v>44</v>
      </c>
      <c r="D21" s="164" t="s">
        <v>3</v>
      </c>
      <c r="E21" s="179">
        <v>0</v>
      </c>
      <c r="F21" s="19">
        <f t="shared" si="0"/>
        <v>44</v>
      </c>
    </row>
    <row r="22" spans="1:7" ht="15.75" thickBot="1" x14ac:dyDescent="0.3">
      <c r="A22" s="170"/>
      <c r="B22" s="168" t="s">
        <v>130</v>
      </c>
      <c r="C22" s="113"/>
      <c r="D22" s="174"/>
      <c r="E22" s="113"/>
      <c r="F22" s="111"/>
    </row>
    <row r="23" spans="1:7" x14ac:dyDescent="0.25">
      <c r="A23" s="170"/>
      <c r="B23" s="169" t="s">
        <v>66</v>
      </c>
      <c r="C23" s="13" t="s">
        <v>3</v>
      </c>
      <c r="D23" s="13">
        <v>289</v>
      </c>
      <c r="E23" s="180">
        <v>5</v>
      </c>
      <c r="F23" s="19">
        <f>D23+E23</f>
        <v>294</v>
      </c>
    </row>
    <row r="24" spans="1:7" x14ac:dyDescent="0.25">
      <c r="B24" s="37" t="s">
        <v>142</v>
      </c>
      <c r="C24" s="13" t="s">
        <v>3</v>
      </c>
      <c r="D24" s="14">
        <v>277</v>
      </c>
      <c r="E24" s="181">
        <v>8</v>
      </c>
      <c r="F24" s="19">
        <f t="shared" ref="F24:F42" si="1">D24+E24</f>
        <v>285</v>
      </c>
    </row>
    <row r="25" spans="1:7" x14ac:dyDescent="0.25">
      <c r="B25" s="37" t="s">
        <v>68</v>
      </c>
      <c r="C25" s="13" t="s">
        <v>3</v>
      </c>
      <c r="D25" s="15">
        <v>229</v>
      </c>
      <c r="E25" s="181">
        <v>0</v>
      </c>
      <c r="F25" s="19">
        <f t="shared" si="1"/>
        <v>229</v>
      </c>
    </row>
    <row r="26" spans="1:7" x14ac:dyDescent="0.25">
      <c r="B26" s="37" t="s">
        <v>124</v>
      </c>
      <c r="C26" s="13" t="s">
        <v>3</v>
      </c>
      <c r="D26" s="14">
        <v>224</v>
      </c>
      <c r="E26" s="181">
        <v>0</v>
      </c>
      <c r="F26" s="19">
        <f t="shared" si="1"/>
        <v>224</v>
      </c>
    </row>
    <row r="27" spans="1:7" x14ac:dyDescent="0.25">
      <c r="B27" s="37" t="s">
        <v>143</v>
      </c>
      <c r="C27" s="13" t="s">
        <v>3</v>
      </c>
      <c r="D27" s="15">
        <v>453</v>
      </c>
      <c r="E27" s="181">
        <v>0</v>
      </c>
      <c r="F27" s="19">
        <f t="shared" si="1"/>
        <v>453</v>
      </c>
    </row>
    <row r="28" spans="1:7" x14ac:dyDescent="0.25">
      <c r="B28" s="37" t="s">
        <v>125</v>
      </c>
      <c r="C28" s="13" t="s">
        <v>3</v>
      </c>
      <c r="D28" s="14">
        <v>124</v>
      </c>
      <c r="E28" s="181">
        <v>2</v>
      </c>
      <c r="F28" s="19">
        <f t="shared" si="1"/>
        <v>126</v>
      </c>
    </row>
    <row r="29" spans="1:7" x14ac:dyDescent="0.25">
      <c r="B29" s="37" t="s">
        <v>72</v>
      </c>
      <c r="C29" s="13" t="s">
        <v>3</v>
      </c>
      <c r="D29" s="14">
        <v>118</v>
      </c>
      <c r="E29" s="181">
        <v>7</v>
      </c>
      <c r="F29" s="19">
        <f t="shared" si="1"/>
        <v>125</v>
      </c>
    </row>
    <row r="30" spans="1:7" x14ac:dyDescent="0.25">
      <c r="B30" s="37" t="s">
        <v>73</v>
      </c>
      <c r="C30" s="13" t="s">
        <v>3</v>
      </c>
      <c r="D30" s="14">
        <v>116</v>
      </c>
      <c r="E30" s="181">
        <v>0</v>
      </c>
      <c r="F30" s="19">
        <f t="shared" si="1"/>
        <v>116</v>
      </c>
    </row>
    <row r="31" spans="1:7" x14ac:dyDescent="0.25">
      <c r="B31" s="37" t="s">
        <v>74</v>
      </c>
      <c r="C31" s="13" t="s">
        <v>3</v>
      </c>
      <c r="D31" s="14">
        <v>113</v>
      </c>
      <c r="E31" s="181">
        <v>0</v>
      </c>
      <c r="F31" s="19">
        <f t="shared" si="1"/>
        <v>113</v>
      </c>
    </row>
    <row r="32" spans="1:7" x14ac:dyDescent="0.25">
      <c r="B32" s="37" t="s">
        <v>75</v>
      </c>
      <c r="C32" s="13" t="s">
        <v>3</v>
      </c>
      <c r="D32" s="14">
        <v>98</v>
      </c>
      <c r="E32" s="181">
        <v>0</v>
      </c>
      <c r="F32" s="19">
        <f t="shared" si="1"/>
        <v>98</v>
      </c>
      <c r="G32" t="s">
        <v>168</v>
      </c>
    </row>
    <row r="33" spans="2:10" x14ac:dyDescent="0.25">
      <c r="B33" s="37" t="s">
        <v>76</v>
      </c>
      <c r="C33" s="13" t="s">
        <v>3</v>
      </c>
      <c r="D33" s="14">
        <v>67</v>
      </c>
      <c r="E33" s="181">
        <v>2</v>
      </c>
      <c r="F33" s="19">
        <f t="shared" si="1"/>
        <v>69</v>
      </c>
    </row>
    <row r="34" spans="2:10" x14ac:dyDescent="0.25">
      <c r="B34" s="37" t="s">
        <v>77</v>
      </c>
      <c r="C34" s="13" t="s">
        <v>3</v>
      </c>
      <c r="D34" s="15">
        <v>60</v>
      </c>
      <c r="E34" s="181">
        <v>0</v>
      </c>
      <c r="F34" s="19">
        <f t="shared" si="1"/>
        <v>60</v>
      </c>
    </row>
    <row r="35" spans="2:10" x14ac:dyDescent="0.25">
      <c r="B35" s="37" t="s">
        <v>126</v>
      </c>
      <c r="C35" s="13" t="s">
        <v>3</v>
      </c>
      <c r="D35" s="14">
        <v>53</v>
      </c>
      <c r="E35" s="181">
        <v>2</v>
      </c>
      <c r="F35" s="19">
        <f t="shared" si="1"/>
        <v>55</v>
      </c>
    </row>
    <row r="36" spans="2:10" x14ac:dyDescent="0.25">
      <c r="B36" s="37" t="s">
        <v>79</v>
      </c>
      <c r="C36" s="13" t="s">
        <v>3</v>
      </c>
      <c r="D36" s="15">
        <v>49</v>
      </c>
      <c r="E36" s="181">
        <v>2</v>
      </c>
      <c r="F36" s="19">
        <f t="shared" si="1"/>
        <v>51</v>
      </c>
    </row>
    <row r="37" spans="2:10" x14ac:dyDescent="0.25">
      <c r="B37" s="37" t="s">
        <v>80</v>
      </c>
      <c r="C37" s="13" t="s">
        <v>3</v>
      </c>
      <c r="D37" s="14">
        <v>38</v>
      </c>
      <c r="E37" s="181">
        <v>0</v>
      </c>
      <c r="F37" s="19">
        <f t="shared" si="1"/>
        <v>38</v>
      </c>
      <c r="G37" t="s">
        <v>172</v>
      </c>
    </row>
    <row r="38" spans="2:10" x14ac:dyDescent="0.25">
      <c r="B38" s="37" t="s">
        <v>81</v>
      </c>
      <c r="C38" s="13" t="s">
        <v>3</v>
      </c>
      <c r="D38" s="14">
        <v>15</v>
      </c>
      <c r="E38" s="181">
        <v>0</v>
      </c>
      <c r="F38" s="19">
        <f t="shared" si="1"/>
        <v>15</v>
      </c>
    </row>
    <row r="39" spans="2:10" x14ac:dyDescent="0.25">
      <c r="B39" s="37" t="s">
        <v>82</v>
      </c>
      <c r="C39" s="13" t="s">
        <v>3</v>
      </c>
      <c r="D39" s="14">
        <v>11</v>
      </c>
      <c r="E39" s="181">
        <v>0</v>
      </c>
      <c r="F39" s="19">
        <f t="shared" si="1"/>
        <v>11</v>
      </c>
      <c r="G39" t="s">
        <v>169</v>
      </c>
    </row>
    <row r="40" spans="2:10" x14ac:dyDescent="0.25">
      <c r="B40" s="37" t="s">
        <v>83</v>
      </c>
      <c r="C40" s="13" t="s">
        <v>3</v>
      </c>
      <c r="D40" s="14">
        <v>0</v>
      </c>
      <c r="E40" s="181">
        <v>0</v>
      </c>
      <c r="F40" s="19">
        <f t="shared" si="1"/>
        <v>0</v>
      </c>
    </row>
    <row r="41" spans="2:10" x14ac:dyDescent="0.25">
      <c r="B41" s="37" t="s">
        <v>84</v>
      </c>
      <c r="C41" s="13" t="s">
        <v>3</v>
      </c>
      <c r="D41" s="14">
        <v>0</v>
      </c>
      <c r="E41" s="181">
        <v>0</v>
      </c>
      <c r="F41" s="19">
        <f t="shared" si="1"/>
        <v>0</v>
      </c>
    </row>
    <row r="42" spans="2:10" ht="15.75" thickBot="1" x14ac:dyDescent="0.3">
      <c r="B42" s="171" t="s">
        <v>85</v>
      </c>
      <c r="C42" s="172" t="s">
        <v>3</v>
      </c>
      <c r="D42" s="172">
        <v>0</v>
      </c>
      <c r="E42" s="182">
        <v>0</v>
      </c>
      <c r="F42" s="165">
        <f t="shared" si="1"/>
        <v>0</v>
      </c>
    </row>
    <row r="43" spans="2:10" ht="15.75" thickBot="1" x14ac:dyDescent="0.3">
      <c r="B43" s="73" t="s">
        <v>4</v>
      </c>
      <c r="C43" s="74">
        <f>SUM(C6:C42)</f>
        <v>983</v>
      </c>
      <c r="D43" s="75">
        <f>SUM(D6:D42)</f>
        <v>2334</v>
      </c>
      <c r="E43" s="75">
        <f>SUM(E6:E42)</f>
        <v>40</v>
      </c>
      <c r="F43" s="183">
        <f>SUM(F6:F42)</f>
        <v>3357</v>
      </c>
      <c r="H43" s="20"/>
      <c r="J43" s="72"/>
    </row>
    <row r="44" spans="2:10" ht="16.899999999999999" customHeight="1" x14ac:dyDescent="0.25">
      <c r="B44" s="4" t="s">
        <v>5</v>
      </c>
      <c r="C44" s="5"/>
      <c r="F44" s="20"/>
      <c r="J44" s="72"/>
    </row>
    <row r="45" spans="2:10" ht="16.899999999999999" customHeight="1" x14ac:dyDescent="0.25">
      <c r="B45" s="131" t="s">
        <v>14</v>
      </c>
      <c r="C45" s="5"/>
      <c r="F45" s="20"/>
      <c r="J45" s="72"/>
    </row>
    <row r="46" spans="2:10" ht="16.899999999999999" customHeight="1" x14ac:dyDescent="0.25">
      <c r="B46" s="185" t="s">
        <v>144</v>
      </c>
      <c r="C46" s="5"/>
      <c r="F46" s="20"/>
      <c r="J46" s="72"/>
    </row>
    <row r="47" spans="2:10" ht="19.149999999999999" customHeight="1" x14ac:dyDescent="0.25">
      <c r="B47" s="255" t="s">
        <v>61</v>
      </c>
      <c r="C47" s="255"/>
      <c r="D47" s="255"/>
      <c r="E47" s="255"/>
      <c r="F47" s="255"/>
      <c r="J47" s="72"/>
    </row>
    <row r="48" spans="2:10" ht="93.75" customHeight="1" x14ac:dyDescent="0.25">
      <c r="B48" s="260" t="s">
        <v>150</v>
      </c>
      <c r="C48" s="260"/>
      <c r="D48" s="260"/>
      <c r="E48" s="260"/>
      <c r="F48" s="260"/>
      <c r="J48" s="72"/>
    </row>
    <row r="49" spans="2:10" ht="31.9" customHeight="1" x14ac:dyDescent="0.25">
      <c r="B49" s="255" t="s">
        <v>151</v>
      </c>
      <c r="C49" s="255"/>
      <c r="D49" s="255"/>
      <c r="E49" s="255"/>
      <c r="F49" s="255"/>
      <c r="J49" s="72"/>
    </row>
    <row r="50" spans="2:10" ht="46.15" customHeight="1" x14ac:dyDescent="0.25">
      <c r="B50" s="256" t="s">
        <v>139</v>
      </c>
      <c r="C50" s="256"/>
      <c r="D50" s="256"/>
      <c r="E50" s="256"/>
      <c r="F50" s="256"/>
      <c r="J50" s="72"/>
    </row>
    <row r="51" spans="2:10" ht="31.9" customHeight="1" x14ac:dyDescent="0.25">
      <c r="B51" s="261"/>
      <c r="C51" s="261"/>
      <c r="D51" s="261"/>
      <c r="E51" s="261"/>
      <c r="F51" s="261"/>
      <c r="J51" s="72"/>
    </row>
    <row r="52" spans="2:10" ht="18.600000000000001" customHeight="1" x14ac:dyDescent="0.25">
      <c r="B52" s="255"/>
      <c r="C52" s="255"/>
      <c r="D52" s="255"/>
      <c r="E52" s="255"/>
      <c r="F52" s="255"/>
      <c r="J52" s="72"/>
    </row>
    <row r="53" spans="2:10" ht="31.15" customHeight="1" x14ac:dyDescent="0.25">
      <c r="B53" s="255"/>
      <c r="C53" s="255"/>
      <c r="D53" s="255"/>
      <c r="E53" s="255"/>
      <c r="F53" s="255"/>
      <c r="J53" s="72"/>
    </row>
    <row r="54" spans="2:10" ht="18.600000000000001" customHeight="1" x14ac:dyDescent="0.25">
      <c r="B54" s="255"/>
      <c r="C54" s="255"/>
      <c r="D54" s="255"/>
      <c r="E54" s="255"/>
      <c r="F54" s="255"/>
      <c r="J54" s="72"/>
    </row>
    <row r="55" spans="2:10" ht="18.600000000000001" customHeight="1" x14ac:dyDescent="0.25">
      <c r="C55" s="5"/>
      <c r="F55" s="70"/>
      <c r="J55" s="72"/>
    </row>
  </sheetData>
  <mergeCells count="9">
    <mergeCell ref="B54:F54"/>
    <mergeCell ref="B47:F47"/>
    <mergeCell ref="B50:F50"/>
    <mergeCell ref="B3:F3"/>
    <mergeCell ref="B48:F48"/>
    <mergeCell ref="B49:F49"/>
    <mergeCell ref="B51:F51"/>
    <mergeCell ref="B52:F52"/>
    <mergeCell ref="B53:F53"/>
  </mergeCells>
  <pageMargins left="0.7" right="0.7" top="0.75" bottom="0.75" header="0.3" footer="0.3"/>
  <pageSetup scale="85" orientation="portrait" horizontalDpi="1200" verticalDpi="1200"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28" zoomScaleNormal="100" workbookViewId="0">
      <selection activeCell="N55" sqref="N55"/>
    </sheetView>
  </sheetViews>
  <sheetFormatPr defaultRowHeight="15" x14ac:dyDescent="0.25"/>
  <cols>
    <col min="1" max="1" width="30.7109375" customWidth="1"/>
    <col min="2" max="2" width="21.28515625" customWidth="1"/>
    <col min="3" max="3" width="13.5703125" customWidth="1"/>
    <col min="4" max="4" width="3" customWidth="1"/>
    <col min="7" max="7" width="10.42578125" customWidth="1"/>
    <col min="8" max="8" width="8.42578125" customWidth="1"/>
    <col min="10" max="10" width="3.42578125" customWidth="1"/>
    <col min="11" max="11" width="12.28515625" customWidth="1"/>
    <col min="12" max="12" width="12.85546875" customWidth="1"/>
    <col min="13" max="13" width="13.28515625" customWidth="1"/>
    <col min="14" max="15" width="10.140625" customWidth="1"/>
    <col min="16" max="16" width="6.28515625" customWidth="1"/>
  </cols>
  <sheetData>
    <row r="1" spans="1:23" ht="23.25" x14ac:dyDescent="0.35">
      <c r="A1" s="1" t="s">
        <v>64</v>
      </c>
    </row>
    <row r="2" spans="1:23" x14ac:dyDescent="0.25">
      <c r="A2" s="184" t="s">
        <v>128</v>
      </c>
    </row>
    <row r="3" spans="1:23" x14ac:dyDescent="0.25">
      <c r="A3" s="262" t="s">
        <v>15</v>
      </c>
      <c r="B3" t="s">
        <v>16</v>
      </c>
      <c r="M3" s="31"/>
      <c r="N3" s="32"/>
      <c r="O3" s="31"/>
      <c r="P3" s="32"/>
      <c r="Q3" s="31"/>
      <c r="R3" s="32"/>
      <c r="S3" s="31"/>
    </row>
    <row r="4" spans="1:23" x14ac:dyDescent="0.25">
      <c r="A4" s="262"/>
      <c r="B4" s="25" t="s">
        <v>17</v>
      </c>
      <c r="C4" s="25" t="s">
        <v>18</v>
      </c>
      <c r="E4" s="2" t="s">
        <v>7</v>
      </c>
      <c r="F4" s="26" t="s">
        <v>19</v>
      </c>
      <c r="H4" t="s">
        <v>20</v>
      </c>
      <c r="M4" s="31"/>
      <c r="N4" s="32"/>
      <c r="O4" s="31"/>
      <c r="P4" s="32"/>
      <c r="Q4" s="31"/>
      <c r="R4" s="32"/>
      <c r="S4" s="31"/>
    </row>
    <row r="5" spans="1:23" x14ac:dyDescent="0.25">
      <c r="A5" s="2">
        <v>7</v>
      </c>
      <c r="B5" s="2">
        <v>1495</v>
      </c>
      <c r="C5" s="2">
        <v>369</v>
      </c>
      <c r="D5" s="2"/>
      <c r="E5" s="2">
        <f>B5+C5</f>
        <v>1864</v>
      </c>
      <c r="F5" s="295">
        <f>E5/18</f>
        <v>103.55555555555556</v>
      </c>
      <c r="G5" s="2"/>
      <c r="H5" s="27">
        <f>E5/5847</f>
        <v>0.31879596374208996</v>
      </c>
      <c r="T5" s="110"/>
    </row>
    <row r="6" spans="1:23" x14ac:dyDescent="0.25">
      <c r="T6" s="3"/>
      <c r="V6" s="54"/>
    </row>
    <row r="7" spans="1:23" ht="15" customHeight="1" x14ac:dyDescent="0.25">
      <c r="A7" s="28" t="s">
        <v>116</v>
      </c>
      <c r="B7" s="29" t="s">
        <v>21</v>
      </c>
      <c r="C7" s="199" t="s">
        <v>22</v>
      </c>
      <c r="D7" s="30"/>
      <c r="E7" t="s">
        <v>23</v>
      </c>
      <c r="F7" s="31" t="s">
        <v>13</v>
      </c>
      <c r="G7" s="32">
        <v>0.49034334763948501</v>
      </c>
    </row>
    <row r="8" spans="1:23" x14ac:dyDescent="0.25">
      <c r="A8" s="28" t="s">
        <v>57</v>
      </c>
      <c r="B8" s="33">
        <f>F5*G8</f>
        <v>46.277777777777779</v>
      </c>
      <c r="C8" s="33">
        <f>B8*20</f>
        <v>925.55555555555554</v>
      </c>
      <c r="D8" s="30"/>
      <c r="F8" s="31" t="s">
        <v>6</v>
      </c>
      <c r="G8" s="32">
        <v>0.44688841201716739</v>
      </c>
      <c r="T8" s="69"/>
      <c r="U8" s="69"/>
      <c r="V8" s="69"/>
      <c r="W8" s="69"/>
    </row>
    <row r="9" spans="1:23" x14ac:dyDescent="0.25">
      <c r="T9" s="69"/>
      <c r="U9" s="69"/>
      <c r="V9" s="69"/>
      <c r="W9" s="69"/>
    </row>
    <row r="10" spans="1:23" x14ac:dyDescent="0.25">
      <c r="T10" s="115"/>
      <c r="U10" s="69"/>
      <c r="V10" s="69"/>
      <c r="W10" s="69"/>
    </row>
    <row r="11" spans="1:23" x14ac:dyDescent="0.25">
      <c r="A11" s="34" t="s">
        <v>24</v>
      </c>
      <c r="B11" s="23" t="s">
        <v>17</v>
      </c>
      <c r="C11" s="23" t="s">
        <v>18</v>
      </c>
      <c r="D11" s="34"/>
      <c r="E11" s="23" t="s">
        <v>7</v>
      </c>
      <c r="G11" s="2" t="s">
        <v>25</v>
      </c>
      <c r="H11" t="s">
        <v>26</v>
      </c>
      <c r="I11" t="s">
        <v>27</v>
      </c>
    </row>
    <row r="12" spans="1:23" x14ac:dyDescent="0.25">
      <c r="A12" s="34" t="s">
        <v>7</v>
      </c>
      <c r="B12" s="23">
        <v>1495</v>
      </c>
      <c r="C12" s="23">
        <v>369</v>
      </c>
      <c r="D12" s="34"/>
      <c r="E12" s="23">
        <f t="shared" ref="E12:E14" si="0">B12+C12</f>
        <v>1864</v>
      </c>
      <c r="G12" s="2" t="s">
        <v>116</v>
      </c>
      <c r="H12" s="2">
        <v>51</v>
      </c>
      <c r="I12" s="24">
        <f>H12/E5</f>
        <v>2.7360515021459229E-2</v>
      </c>
      <c r="M12" s="31"/>
      <c r="N12" s="32"/>
      <c r="O12" s="31"/>
      <c r="P12" s="32"/>
      <c r="Q12" s="31"/>
      <c r="R12" s="32"/>
      <c r="S12" s="31"/>
    </row>
    <row r="13" spans="1:23" x14ac:dyDescent="0.25">
      <c r="A13" s="34" t="s">
        <v>28</v>
      </c>
      <c r="B13" s="23">
        <v>1349</v>
      </c>
      <c r="C13" s="23">
        <v>342</v>
      </c>
      <c r="D13" s="34"/>
      <c r="E13" s="23">
        <f t="shared" si="0"/>
        <v>1691</v>
      </c>
      <c r="M13" s="31"/>
      <c r="N13" s="32"/>
      <c r="O13" s="31"/>
      <c r="P13" s="32"/>
      <c r="Q13" s="31"/>
      <c r="R13" s="32"/>
      <c r="S13" s="31"/>
      <c r="U13" s="31"/>
      <c r="V13" s="32"/>
    </row>
    <row r="14" spans="1:23" x14ac:dyDescent="0.25">
      <c r="A14" s="34" t="s">
        <v>29</v>
      </c>
      <c r="B14" s="23">
        <f>B12-B13</f>
        <v>146</v>
      </c>
      <c r="C14" s="23">
        <f>C12-C13</f>
        <v>27</v>
      </c>
      <c r="D14" s="34"/>
      <c r="E14" s="23">
        <f t="shared" si="0"/>
        <v>173</v>
      </c>
      <c r="G14" s="2" t="s">
        <v>30</v>
      </c>
      <c r="H14" s="2" t="s">
        <v>26</v>
      </c>
      <c r="I14" t="s">
        <v>27</v>
      </c>
      <c r="U14" s="31"/>
      <c r="V14" s="32"/>
    </row>
    <row r="15" spans="1:23" x14ac:dyDescent="0.25">
      <c r="B15" s="2"/>
      <c r="C15" s="2"/>
      <c r="E15" s="2"/>
      <c r="G15" s="2" t="s">
        <v>116</v>
      </c>
      <c r="H15" s="2">
        <v>29</v>
      </c>
      <c r="I15" s="24">
        <f>H15/E5</f>
        <v>1.5557939914163091E-2</v>
      </c>
    </row>
    <row r="16" spans="1:23" x14ac:dyDescent="0.25">
      <c r="A16" s="34" t="s">
        <v>31</v>
      </c>
      <c r="B16" s="35" t="s">
        <v>32</v>
      </c>
      <c r="C16" s="23"/>
      <c r="D16" s="34"/>
      <c r="E16" s="23"/>
    </row>
    <row r="17" spans="1:19" x14ac:dyDescent="0.25">
      <c r="A17" s="34" t="s">
        <v>33</v>
      </c>
      <c r="B17" s="23">
        <v>762</v>
      </c>
      <c r="C17" s="23">
        <v>152</v>
      </c>
      <c r="D17" s="34"/>
      <c r="E17" s="23">
        <f>B17+C17</f>
        <v>914</v>
      </c>
    </row>
    <row r="18" spans="1:19" x14ac:dyDescent="0.25">
      <c r="A18" s="34" t="s">
        <v>59</v>
      </c>
      <c r="B18" s="23">
        <v>706</v>
      </c>
      <c r="C18" s="23">
        <v>127</v>
      </c>
      <c r="D18" s="34"/>
      <c r="E18" s="23">
        <f>B18+C18</f>
        <v>833</v>
      </c>
    </row>
    <row r="19" spans="1:19" x14ac:dyDescent="0.25">
      <c r="A19" s="34" t="s">
        <v>34</v>
      </c>
      <c r="B19" s="23">
        <f>23+4</f>
        <v>27</v>
      </c>
      <c r="C19" s="23">
        <f>11+79</f>
        <v>90</v>
      </c>
      <c r="D19" s="34"/>
      <c r="E19" s="23">
        <f>B19+C19</f>
        <v>117</v>
      </c>
    </row>
    <row r="20" spans="1:19" x14ac:dyDescent="0.25">
      <c r="A20" s="34" t="s">
        <v>7</v>
      </c>
      <c r="B20" s="23">
        <f>B19+B18+B17</f>
        <v>1495</v>
      </c>
      <c r="C20" s="23">
        <f t="shared" ref="C20" si="1">C19+C18+C17</f>
        <v>369</v>
      </c>
      <c r="D20" s="34"/>
      <c r="E20" s="23">
        <f>B20+C20</f>
        <v>1864</v>
      </c>
    </row>
    <row r="21" spans="1:19" x14ac:dyDescent="0.25">
      <c r="B21" s="2"/>
      <c r="C21" s="2"/>
      <c r="E21" s="2"/>
      <c r="M21" s="31"/>
      <c r="N21" s="32"/>
      <c r="O21" s="31"/>
      <c r="P21" s="32"/>
      <c r="Q21" s="31"/>
      <c r="R21" s="32"/>
      <c r="S21" s="31"/>
    </row>
    <row r="22" spans="1:19" x14ac:dyDescent="0.25">
      <c r="A22" t="s">
        <v>35</v>
      </c>
      <c r="B22" s="2"/>
      <c r="C22" s="2"/>
      <c r="E22" s="2"/>
      <c r="M22" s="31"/>
      <c r="N22" s="32"/>
      <c r="O22" s="31"/>
      <c r="P22" s="32"/>
      <c r="Q22" s="31"/>
      <c r="R22" s="32"/>
      <c r="S22" s="31"/>
    </row>
    <row r="23" spans="1:19" x14ac:dyDescent="0.25">
      <c r="A23" t="s">
        <v>36</v>
      </c>
      <c r="B23" s="2">
        <f>B18</f>
        <v>706</v>
      </c>
      <c r="C23" s="2">
        <f>C18</f>
        <v>127</v>
      </c>
      <c r="E23" s="2">
        <f t="shared" ref="E23" si="2">B23+C23</f>
        <v>833</v>
      </c>
    </row>
    <row r="24" spans="1:19" x14ac:dyDescent="0.25">
      <c r="B24" s="2"/>
      <c r="C24" s="2"/>
      <c r="E24" s="2"/>
    </row>
    <row r="25" spans="1:19" x14ac:dyDescent="0.25">
      <c r="A25" t="s">
        <v>37</v>
      </c>
      <c r="B25" s="24">
        <f>B19/B12</f>
        <v>1.8060200668896322E-2</v>
      </c>
      <c r="C25" s="24">
        <f>C19/C12</f>
        <v>0.24390243902439024</v>
      </c>
      <c r="E25" s="24">
        <f>E19/E12</f>
        <v>6.2768240343347645E-2</v>
      </c>
    </row>
    <row r="27" spans="1:19" x14ac:dyDescent="0.25">
      <c r="A27" t="s">
        <v>38</v>
      </c>
    </row>
    <row r="29" spans="1:19" ht="23.25" x14ac:dyDescent="0.35">
      <c r="A29" s="116" t="s">
        <v>92</v>
      </c>
      <c r="B29" s="117"/>
      <c r="C29" s="117"/>
      <c r="D29" s="117"/>
      <c r="E29" s="117"/>
      <c r="F29" s="117"/>
      <c r="G29" s="117"/>
      <c r="H29" s="117"/>
      <c r="I29" s="117"/>
      <c r="J29" s="117"/>
      <c r="K29" s="117"/>
      <c r="L29" s="117"/>
      <c r="M29" s="117"/>
      <c r="N29" s="117"/>
      <c r="O29" s="117"/>
      <c r="P29" s="117"/>
    </row>
    <row r="30" spans="1:19" x14ac:dyDescent="0.25">
      <c r="A30" s="117" t="s">
        <v>93</v>
      </c>
      <c r="B30" s="117" t="s">
        <v>94</v>
      </c>
      <c r="C30" s="117"/>
      <c r="D30" s="117"/>
      <c r="E30" s="117"/>
      <c r="F30" s="117"/>
      <c r="G30" s="117"/>
      <c r="H30" s="117"/>
      <c r="I30" s="117"/>
      <c r="J30" s="117"/>
      <c r="K30" s="117"/>
      <c r="L30" s="117"/>
      <c r="M30" s="117"/>
      <c r="N30" s="117"/>
      <c r="O30" s="117"/>
      <c r="P30" s="117"/>
    </row>
    <row r="31" spans="1:19" x14ac:dyDescent="0.25">
      <c r="A31" s="117"/>
      <c r="B31" s="117"/>
      <c r="C31" s="117"/>
      <c r="D31" s="117"/>
      <c r="E31" s="117"/>
      <c r="F31" s="117"/>
      <c r="G31" s="117"/>
      <c r="H31" s="117"/>
      <c r="I31" s="117"/>
      <c r="J31" s="117"/>
      <c r="K31" s="118" t="s">
        <v>44</v>
      </c>
      <c r="L31" s="118"/>
      <c r="M31" s="117"/>
      <c r="N31" s="117"/>
      <c r="O31" s="117"/>
      <c r="P31" s="117"/>
    </row>
    <row r="32" spans="1:19" x14ac:dyDescent="0.25">
      <c r="A32" s="117" t="s">
        <v>10</v>
      </c>
      <c r="B32" s="119">
        <v>1864</v>
      </c>
      <c r="C32" s="117"/>
      <c r="D32" s="117"/>
      <c r="E32" s="117"/>
      <c r="F32" s="117"/>
      <c r="G32" s="117"/>
      <c r="H32" s="117"/>
      <c r="I32" s="117"/>
      <c r="J32" s="117"/>
      <c r="K32" s="120" t="s">
        <v>39</v>
      </c>
      <c r="L32" s="121">
        <f>B32/18</f>
        <v>103.55555555555556</v>
      </c>
      <c r="M32" s="117"/>
      <c r="N32" s="117"/>
      <c r="O32" s="117"/>
      <c r="P32" s="117"/>
    </row>
    <row r="33" spans="1:16" x14ac:dyDescent="0.25">
      <c r="A33" s="117"/>
      <c r="B33" s="117"/>
      <c r="C33" s="117"/>
      <c r="D33" s="117"/>
      <c r="E33" s="117"/>
      <c r="F33" s="117"/>
      <c r="G33" s="117"/>
      <c r="H33" s="117"/>
      <c r="I33" s="117"/>
      <c r="J33" s="117"/>
      <c r="K33" s="117"/>
      <c r="L33" s="117"/>
      <c r="M33" s="117"/>
      <c r="N33" s="117"/>
      <c r="O33" s="117"/>
      <c r="P33" s="117"/>
    </row>
    <row r="34" spans="1:16" ht="45.75" thickBot="1" x14ac:dyDescent="0.3">
      <c r="A34" s="122" t="s">
        <v>95</v>
      </c>
      <c r="B34" s="122" t="s">
        <v>11</v>
      </c>
      <c r="C34" s="123" t="s">
        <v>12</v>
      </c>
      <c r="D34" s="124"/>
      <c r="E34" s="122" t="s">
        <v>13</v>
      </c>
      <c r="F34" s="122" t="s">
        <v>6</v>
      </c>
      <c r="G34" s="122" t="s">
        <v>8</v>
      </c>
      <c r="H34" s="122" t="s">
        <v>96</v>
      </c>
      <c r="I34" s="122" t="s">
        <v>97</v>
      </c>
      <c r="J34" s="117"/>
      <c r="K34" s="125" t="s">
        <v>98</v>
      </c>
      <c r="L34" s="125" t="s">
        <v>99</v>
      </c>
      <c r="M34" s="125" t="s">
        <v>40</v>
      </c>
      <c r="N34" s="125" t="s">
        <v>41</v>
      </c>
      <c r="O34" s="125" t="s">
        <v>53</v>
      </c>
      <c r="P34" s="117"/>
    </row>
    <row r="35" spans="1:16" ht="15.75" thickTop="1" x14ac:dyDescent="0.25">
      <c r="A35" s="126" t="s">
        <v>100</v>
      </c>
      <c r="B35" s="126">
        <v>158</v>
      </c>
      <c r="C35" s="127">
        <f>B35/$B$32</f>
        <v>8.4763948497854083E-2</v>
      </c>
      <c r="D35" s="128"/>
      <c r="E35" s="126">
        <v>119</v>
      </c>
      <c r="F35" s="126">
        <v>27</v>
      </c>
      <c r="G35" s="126">
        <v>12</v>
      </c>
      <c r="H35" s="127">
        <f t="shared" ref="H35:H50" si="3">E35/B35</f>
        <v>0.75316455696202533</v>
      </c>
      <c r="I35" s="127">
        <f t="shared" ref="I35:I50" si="4">F35/B35</f>
        <v>0.17088607594936708</v>
      </c>
      <c r="J35" s="117"/>
      <c r="K35" s="129">
        <f>$L$32*C35</f>
        <v>8.7777777777777786</v>
      </c>
      <c r="L35" s="129">
        <f>K35*I35</f>
        <v>1.5</v>
      </c>
      <c r="M35" s="129">
        <f>L35*1.06</f>
        <v>1.59</v>
      </c>
      <c r="N35" s="129">
        <f>M35*20</f>
        <v>31.8</v>
      </c>
      <c r="O35" s="130">
        <v>32</v>
      </c>
      <c r="P35" s="117"/>
    </row>
    <row r="36" spans="1:16" x14ac:dyDescent="0.25">
      <c r="A36" s="126" t="s">
        <v>101</v>
      </c>
      <c r="B36" s="126">
        <v>145</v>
      </c>
      <c r="C36" s="127">
        <f t="shared" ref="C36:C50" si="5">B36/$B$32</f>
        <v>7.7789699570815454E-2</v>
      </c>
      <c r="D36" s="128"/>
      <c r="E36" s="126">
        <v>28</v>
      </c>
      <c r="F36" s="126">
        <v>107</v>
      </c>
      <c r="G36" s="126">
        <v>10</v>
      </c>
      <c r="H36" s="127">
        <f t="shared" si="3"/>
        <v>0.19310344827586207</v>
      </c>
      <c r="I36" s="127">
        <f t="shared" si="4"/>
        <v>0.73793103448275865</v>
      </c>
      <c r="J36" s="117"/>
      <c r="K36" s="129">
        <f t="shared" ref="K36:K50" si="6">$L$32*C36</f>
        <v>8.0555555555555554</v>
      </c>
      <c r="L36" s="129">
        <f t="shared" ref="L36:L42" si="7">K36*I36</f>
        <v>5.9444444444444446</v>
      </c>
      <c r="M36" s="129">
        <f t="shared" ref="M36:M42" si="8">L36*1.06</f>
        <v>6.301111111111112</v>
      </c>
      <c r="N36" s="129">
        <f t="shared" ref="N36:N42" si="9">M36*20</f>
        <v>126.02222222222224</v>
      </c>
      <c r="O36" s="130">
        <v>126</v>
      </c>
      <c r="P36" s="117"/>
    </row>
    <row r="37" spans="1:16" x14ac:dyDescent="0.25">
      <c r="A37" s="126" t="s">
        <v>102</v>
      </c>
      <c r="B37" s="126">
        <v>21</v>
      </c>
      <c r="C37" s="127">
        <f t="shared" si="5"/>
        <v>1.1266094420600859E-2</v>
      </c>
      <c r="D37" s="128"/>
      <c r="E37" s="126">
        <v>0</v>
      </c>
      <c r="F37" s="126">
        <v>20</v>
      </c>
      <c r="G37" s="126">
        <v>1</v>
      </c>
      <c r="H37" s="127">
        <f t="shared" si="3"/>
        <v>0</v>
      </c>
      <c r="I37" s="127">
        <f t="shared" si="4"/>
        <v>0.95238095238095233</v>
      </c>
      <c r="J37" s="117"/>
      <c r="K37" s="129">
        <f t="shared" si="6"/>
        <v>1.1666666666666667</v>
      </c>
      <c r="L37" s="129">
        <f t="shared" si="7"/>
        <v>1.1111111111111112</v>
      </c>
      <c r="M37" s="129">
        <f t="shared" si="8"/>
        <v>1.1777777777777778</v>
      </c>
      <c r="N37" s="129">
        <f t="shared" si="9"/>
        <v>23.555555555555557</v>
      </c>
      <c r="O37" s="130">
        <v>24</v>
      </c>
      <c r="P37" s="117"/>
    </row>
    <row r="38" spans="1:16" x14ac:dyDescent="0.25">
      <c r="A38" s="126" t="s">
        <v>103</v>
      </c>
      <c r="B38" s="126">
        <v>14</v>
      </c>
      <c r="C38" s="127">
        <f t="shared" si="5"/>
        <v>7.5107296137339056E-3</v>
      </c>
      <c r="D38" s="128"/>
      <c r="E38" s="126">
        <v>0</v>
      </c>
      <c r="F38" s="126">
        <v>10</v>
      </c>
      <c r="G38" s="126">
        <v>4</v>
      </c>
      <c r="H38" s="127">
        <f t="shared" si="3"/>
        <v>0</v>
      </c>
      <c r="I38" s="127">
        <f t="shared" si="4"/>
        <v>0.7142857142857143</v>
      </c>
      <c r="J38" s="117"/>
      <c r="K38" s="129">
        <f t="shared" si="6"/>
        <v>0.77777777777777779</v>
      </c>
      <c r="L38" s="129">
        <f t="shared" si="7"/>
        <v>0.55555555555555558</v>
      </c>
      <c r="M38" s="129">
        <f t="shared" si="8"/>
        <v>0.58888888888888891</v>
      </c>
      <c r="N38" s="129">
        <f t="shared" si="9"/>
        <v>11.777777777777779</v>
      </c>
      <c r="O38" s="130">
        <v>12</v>
      </c>
      <c r="P38" s="117"/>
    </row>
    <row r="39" spans="1:16" x14ac:dyDescent="0.25">
      <c r="A39" s="126" t="s">
        <v>104</v>
      </c>
      <c r="B39" s="126">
        <v>209</v>
      </c>
      <c r="C39" s="127">
        <f t="shared" si="5"/>
        <v>0.11212446351931331</v>
      </c>
      <c r="D39" s="128"/>
      <c r="E39" s="126">
        <v>134</v>
      </c>
      <c r="F39" s="126">
        <v>63</v>
      </c>
      <c r="G39" s="126">
        <v>12</v>
      </c>
      <c r="H39" s="127">
        <f t="shared" si="3"/>
        <v>0.64114832535885169</v>
      </c>
      <c r="I39" s="127">
        <f t="shared" si="4"/>
        <v>0.30143540669856461</v>
      </c>
      <c r="J39" s="117"/>
      <c r="K39" s="129">
        <f t="shared" si="6"/>
        <v>11.611111111111112</v>
      </c>
      <c r="L39" s="129">
        <f t="shared" si="7"/>
        <v>3.5000000000000004</v>
      </c>
      <c r="M39" s="129">
        <f t="shared" si="8"/>
        <v>3.7100000000000009</v>
      </c>
      <c r="N39" s="129">
        <f t="shared" si="9"/>
        <v>74.200000000000017</v>
      </c>
      <c r="O39" s="130">
        <v>74</v>
      </c>
      <c r="P39" s="117"/>
    </row>
    <row r="40" spans="1:16" x14ac:dyDescent="0.25">
      <c r="A40" s="126" t="s">
        <v>105</v>
      </c>
      <c r="B40" s="126">
        <v>45</v>
      </c>
      <c r="C40" s="127">
        <f t="shared" si="5"/>
        <v>2.4141630901287552E-2</v>
      </c>
      <c r="D40" s="128"/>
      <c r="E40" s="126">
        <v>1</v>
      </c>
      <c r="F40" s="126">
        <v>40</v>
      </c>
      <c r="G40" s="126">
        <v>4</v>
      </c>
      <c r="H40" s="127">
        <f t="shared" si="3"/>
        <v>2.2222222222222223E-2</v>
      </c>
      <c r="I40" s="127">
        <f t="shared" si="4"/>
        <v>0.88888888888888884</v>
      </c>
      <c r="J40" s="117"/>
      <c r="K40" s="129">
        <f t="shared" si="6"/>
        <v>2.5</v>
      </c>
      <c r="L40" s="129">
        <f t="shared" si="7"/>
        <v>2.2222222222222223</v>
      </c>
      <c r="M40" s="129">
        <f t="shared" si="8"/>
        <v>2.3555555555555556</v>
      </c>
      <c r="N40" s="129">
        <f t="shared" si="9"/>
        <v>47.111111111111114</v>
      </c>
      <c r="O40" s="130">
        <v>47</v>
      </c>
      <c r="P40" s="117"/>
    </row>
    <row r="41" spans="1:16" x14ac:dyDescent="0.25">
      <c r="A41" s="126" t="s">
        <v>106</v>
      </c>
      <c r="B41" s="126">
        <v>79</v>
      </c>
      <c r="C41" s="127">
        <f t="shared" si="5"/>
        <v>4.2381974248927042E-2</v>
      </c>
      <c r="D41" s="128"/>
      <c r="E41" s="126">
        <v>56</v>
      </c>
      <c r="F41" s="126">
        <v>21</v>
      </c>
      <c r="G41" s="126">
        <v>2</v>
      </c>
      <c r="H41" s="127">
        <f t="shared" si="3"/>
        <v>0.70886075949367089</v>
      </c>
      <c r="I41" s="127">
        <f t="shared" si="4"/>
        <v>0.26582278481012656</v>
      </c>
      <c r="J41" s="117"/>
      <c r="K41" s="129">
        <f t="shared" si="6"/>
        <v>4.3888888888888893</v>
      </c>
      <c r="L41" s="129">
        <f t="shared" si="7"/>
        <v>1.1666666666666667</v>
      </c>
      <c r="M41" s="129">
        <f t="shared" si="8"/>
        <v>1.2366666666666668</v>
      </c>
      <c r="N41" s="129">
        <f t="shared" si="9"/>
        <v>24.733333333333334</v>
      </c>
      <c r="O41" s="130">
        <v>25</v>
      </c>
      <c r="P41" s="117"/>
    </row>
    <row r="42" spans="1:16" x14ac:dyDescent="0.25">
      <c r="A42" s="126" t="s">
        <v>107</v>
      </c>
      <c r="B42" s="126">
        <v>4</v>
      </c>
      <c r="C42" s="127">
        <f t="shared" si="5"/>
        <v>2.1459227467811159E-3</v>
      </c>
      <c r="D42" s="128"/>
      <c r="E42" s="126">
        <v>0</v>
      </c>
      <c r="F42" s="126">
        <v>4</v>
      </c>
      <c r="G42" s="126">
        <v>0</v>
      </c>
      <c r="H42" s="127">
        <f t="shared" si="3"/>
        <v>0</v>
      </c>
      <c r="I42" s="127">
        <f t="shared" si="4"/>
        <v>1</v>
      </c>
      <c r="J42" s="117"/>
      <c r="K42" s="129">
        <f t="shared" si="6"/>
        <v>0.22222222222222224</v>
      </c>
      <c r="L42" s="129">
        <f t="shared" si="7"/>
        <v>0.22222222222222224</v>
      </c>
      <c r="M42" s="129">
        <f t="shared" si="8"/>
        <v>0.23555555555555557</v>
      </c>
      <c r="N42" s="129">
        <f t="shared" si="9"/>
        <v>4.7111111111111112</v>
      </c>
      <c r="O42" s="130">
        <v>5</v>
      </c>
      <c r="P42" s="117"/>
    </row>
    <row r="43" spans="1:16" x14ac:dyDescent="0.25">
      <c r="A43" s="126" t="s">
        <v>108</v>
      </c>
      <c r="B43" s="126">
        <v>60</v>
      </c>
      <c r="C43" s="127">
        <f t="shared" si="5"/>
        <v>3.2188841201716736E-2</v>
      </c>
      <c r="D43" s="128"/>
      <c r="E43" s="126">
        <v>17</v>
      </c>
      <c r="F43" s="126">
        <v>35</v>
      </c>
      <c r="G43" s="126">
        <v>8</v>
      </c>
      <c r="H43" s="127">
        <f t="shared" si="3"/>
        <v>0.28333333333333333</v>
      </c>
      <c r="I43" s="127">
        <f t="shared" si="4"/>
        <v>0.58333333333333337</v>
      </c>
      <c r="J43" s="117"/>
      <c r="K43" s="129">
        <f t="shared" si="6"/>
        <v>3.333333333333333</v>
      </c>
      <c r="L43" s="129">
        <f>K43*I43</f>
        <v>1.9444444444444444</v>
      </c>
      <c r="M43" s="129">
        <f>L43*1.06</f>
        <v>2.0611111111111113</v>
      </c>
      <c r="N43" s="129">
        <f>M43*20</f>
        <v>41.222222222222229</v>
      </c>
      <c r="O43" s="130">
        <v>41</v>
      </c>
      <c r="P43" s="117"/>
    </row>
    <row r="44" spans="1:16" x14ac:dyDescent="0.25">
      <c r="A44" s="126" t="s">
        <v>109</v>
      </c>
      <c r="B44" s="112">
        <f>287+23</f>
        <v>310</v>
      </c>
      <c r="C44" s="127">
        <f t="shared" si="5"/>
        <v>0.16630901287553648</v>
      </c>
      <c r="D44" s="128"/>
      <c r="E44" s="112">
        <f>200+8</f>
        <v>208</v>
      </c>
      <c r="F44" s="112">
        <f>74+14</f>
        <v>88</v>
      </c>
      <c r="G44" s="112">
        <f>13+1</f>
        <v>14</v>
      </c>
      <c r="H44" s="127">
        <f t="shared" si="3"/>
        <v>0.67096774193548392</v>
      </c>
      <c r="I44" s="127">
        <f t="shared" si="4"/>
        <v>0.28387096774193549</v>
      </c>
      <c r="J44" s="117"/>
      <c r="K44" s="129">
        <f t="shared" si="6"/>
        <v>17.222222222222221</v>
      </c>
      <c r="L44" s="129">
        <f t="shared" ref="L44:L50" si="10">K44*I44</f>
        <v>4.8888888888888884</v>
      </c>
      <c r="M44" s="129">
        <f t="shared" ref="M44:M50" si="11">L44*1.06</f>
        <v>5.1822222222222223</v>
      </c>
      <c r="N44" s="129">
        <f t="shared" ref="N44:N50" si="12">M44*20</f>
        <v>103.64444444444445</v>
      </c>
      <c r="O44" s="130">
        <v>104</v>
      </c>
      <c r="P44" s="117"/>
    </row>
    <row r="45" spans="1:16" x14ac:dyDescent="0.25">
      <c r="A45" s="126" t="s">
        <v>110</v>
      </c>
      <c r="B45" s="126">
        <v>90</v>
      </c>
      <c r="C45" s="127">
        <f t="shared" si="5"/>
        <v>4.8283261802575105E-2</v>
      </c>
      <c r="D45" s="128"/>
      <c r="E45" s="126">
        <v>20</v>
      </c>
      <c r="F45" s="126">
        <v>62</v>
      </c>
      <c r="G45" s="126">
        <v>8</v>
      </c>
      <c r="H45" s="127">
        <f t="shared" si="3"/>
        <v>0.22222222222222221</v>
      </c>
      <c r="I45" s="127">
        <f t="shared" si="4"/>
        <v>0.68888888888888888</v>
      </c>
      <c r="J45" s="117"/>
      <c r="K45" s="129">
        <f t="shared" si="6"/>
        <v>5</v>
      </c>
      <c r="L45" s="129">
        <f t="shared" si="10"/>
        <v>3.4444444444444446</v>
      </c>
      <c r="M45" s="129">
        <f t="shared" si="11"/>
        <v>3.6511111111111116</v>
      </c>
      <c r="N45" s="129">
        <f t="shared" si="12"/>
        <v>73.02222222222224</v>
      </c>
      <c r="O45" s="130">
        <v>73</v>
      </c>
      <c r="P45" s="117"/>
    </row>
    <row r="46" spans="1:16" x14ac:dyDescent="0.25">
      <c r="A46" s="126" t="s">
        <v>111</v>
      </c>
      <c r="B46" s="126">
        <v>362</v>
      </c>
      <c r="C46" s="127">
        <f t="shared" si="5"/>
        <v>0.194206008583691</v>
      </c>
      <c r="D46" s="128"/>
      <c r="E46" s="126">
        <v>132</v>
      </c>
      <c r="F46" s="126">
        <v>204</v>
      </c>
      <c r="G46" s="126">
        <v>26</v>
      </c>
      <c r="H46" s="127">
        <f t="shared" si="3"/>
        <v>0.36464088397790057</v>
      </c>
      <c r="I46" s="127">
        <f t="shared" si="4"/>
        <v>0.56353591160220995</v>
      </c>
      <c r="J46" s="117"/>
      <c r="K46" s="129">
        <f t="shared" si="6"/>
        <v>20.111111111111114</v>
      </c>
      <c r="L46" s="129">
        <f t="shared" si="10"/>
        <v>11.333333333333336</v>
      </c>
      <c r="M46" s="129">
        <f t="shared" si="11"/>
        <v>12.013333333333337</v>
      </c>
      <c r="N46" s="129">
        <f t="shared" si="12"/>
        <v>240.26666666666674</v>
      </c>
      <c r="O46" s="130">
        <v>240</v>
      </c>
      <c r="P46" s="117"/>
    </row>
    <row r="47" spans="1:16" x14ac:dyDescent="0.25">
      <c r="A47" s="126" t="s">
        <v>112</v>
      </c>
      <c r="B47" s="126">
        <v>44</v>
      </c>
      <c r="C47" s="127">
        <f t="shared" si="5"/>
        <v>2.3605150214592276E-2</v>
      </c>
      <c r="D47" s="128"/>
      <c r="E47" s="126">
        <v>4</v>
      </c>
      <c r="F47" s="126">
        <v>37</v>
      </c>
      <c r="G47" s="126">
        <v>3</v>
      </c>
      <c r="H47" s="127">
        <f t="shared" si="3"/>
        <v>9.0909090909090912E-2</v>
      </c>
      <c r="I47" s="127">
        <f t="shared" si="4"/>
        <v>0.84090909090909094</v>
      </c>
      <c r="J47" s="117"/>
      <c r="K47" s="129">
        <f t="shared" si="6"/>
        <v>2.4444444444444446</v>
      </c>
      <c r="L47" s="129">
        <f t="shared" si="10"/>
        <v>2.0555555555555558</v>
      </c>
      <c r="M47" s="129">
        <f t="shared" si="11"/>
        <v>2.1788888888888893</v>
      </c>
      <c r="N47" s="129">
        <f t="shared" si="12"/>
        <v>43.577777777777783</v>
      </c>
      <c r="O47" s="130">
        <v>44</v>
      </c>
      <c r="P47" s="117"/>
    </row>
    <row r="48" spans="1:16" x14ac:dyDescent="0.25">
      <c r="A48" s="126" t="s">
        <v>113</v>
      </c>
      <c r="B48" s="126">
        <v>252</v>
      </c>
      <c r="C48" s="127">
        <f t="shared" si="5"/>
        <v>0.13519313304721031</v>
      </c>
      <c r="D48" s="128"/>
      <c r="E48" s="126">
        <v>177</v>
      </c>
      <c r="F48" s="126">
        <v>67</v>
      </c>
      <c r="G48" s="126">
        <v>8</v>
      </c>
      <c r="H48" s="127">
        <f t="shared" si="3"/>
        <v>0.70238095238095233</v>
      </c>
      <c r="I48" s="127">
        <f t="shared" si="4"/>
        <v>0.26587301587301587</v>
      </c>
      <c r="J48" s="117"/>
      <c r="K48" s="129">
        <f t="shared" si="6"/>
        <v>14.000000000000002</v>
      </c>
      <c r="L48" s="129">
        <f t="shared" si="10"/>
        <v>3.7222222222222228</v>
      </c>
      <c r="M48" s="129">
        <f t="shared" si="11"/>
        <v>3.9455555555555564</v>
      </c>
      <c r="N48" s="129">
        <f t="shared" si="12"/>
        <v>78.911111111111126</v>
      </c>
      <c r="O48" s="130">
        <v>79</v>
      </c>
      <c r="P48" s="117"/>
    </row>
    <row r="49" spans="1:16" x14ac:dyDescent="0.25">
      <c r="A49" s="126" t="s">
        <v>114</v>
      </c>
      <c r="B49" s="126">
        <v>14</v>
      </c>
      <c r="C49" s="127">
        <f t="shared" si="5"/>
        <v>7.5107296137339056E-3</v>
      </c>
      <c r="D49" s="128"/>
      <c r="E49" s="126">
        <v>1</v>
      </c>
      <c r="F49" s="126">
        <v>11</v>
      </c>
      <c r="G49" s="126">
        <v>2</v>
      </c>
      <c r="H49" s="127">
        <f t="shared" si="3"/>
        <v>7.1428571428571425E-2</v>
      </c>
      <c r="I49" s="127">
        <f t="shared" si="4"/>
        <v>0.7857142857142857</v>
      </c>
      <c r="J49" s="117"/>
      <c r="K49" s="129">
        <f t="shared" si="6"/>
        <v>0.77777777777777779</v>
      </c>
      <c r="L49" s="129">
        <f t="shared" si="10"/>
        <v>0.61111111111111116</v>
      </c>
      <c r="M49" s="129">
        <f t="shared" si="11"/>
        <v>0.6477777777777779</v>
      </c>
      <c r="N49" s="129">
        <f t="shared" si="12"/>
        <v>12.955555555555557</v>
      </c>
      <c r="O49" s="130">
        <v>13</v>
      </c>
      <c r="P49" s="117"/>
    </row>
    <row r="50" spans="1:16" ht="15.75" thickBot="1" x14ac:dyDescent="0.3">
      <c r="A50" s="187" t="s">
        <v>115</v>
      </c>
      <c r="B50" s="187">
        <v>57</v>
      </c>
      <c r="C50" s="128">
        <f t="shared" si="5"/>
        <v>3.0579399141630902E-2</v>
      </c>
      <c r="D50" s="128"/>
      <c r="E50" s="187">
        <v>17</v>
      </c>
      <c r="F50" s="187">
        <v>37</v>
      </c>
      <c r="G50" s="187">
        <v>3</v>
      </c>
      <c r="H50" s="128">
        <f t="shared" si="3"/>
        <v>0.2982456140350877</v>
      </c>
      <c r="I50" s="128">
        <f t="shared" si="4"/>
        <v>0.64912280701754388</v>
      </c>
      <c r="J50" s="117"/>
      <c r="K50" s="194">
        <f t="shared" si="6"/>
        <v>3.166666666666667</v>
      </c>
      <c r="L50" s="194">
        <f t="shared" si="10"/>
        <v>2.0555555555555558</v>
      </c>
      <c r="M50" s="194">
        <f t="shared" si="11"/>
        <v>2.1788888888888893</v>
      </c>
      <c r="N50" s="194">
        <f t="shared" si="12"/>
        <v>43.577777777777783</v>
      </c>
      <c r="O50" s="195">
        <v>44</v>
      </c>
      <c r="P50" s="117"/>
    </row>
    <row r="51" spans="1:16" ht="15.75" thickBot="1" x14ac:dyDescent="0.3">
      <c r="A51" s="188" t="s">
        <v>7</v>
      </c>
      <c r="B51" s="189">
        <f>SUM(B35:B50)</f>
        <v>1864</v>
      </c>
      <c r="C51" s="190">
        <f>SUM(C35:C50)</f>
        <v>1</v>
      </c>
      <c r="D51" s="132"/>
      <c r="E51" s="191">
        <f>SUM(E35:E50)</f>
        <v>914</v>
      </c>
      <c r="F51" s="189">
        <f>SUM(F35:F50)</f>
        <v>833</v>
      </c>
      <c r="G51" s="189">
        <f>SUM(G35:G50)</f>
        <v>117</v>
      </c>
      <c r="H51" s="192" t="s">
        <v>7</v>
      </c>
      <c r="I51" s="193">
        <f>E51+F51+G51</f>
        <v>1864</v>
      </c>
      <c r="J51" s="117"/>
      <c r="K51" s="196">
        <f>SUM(K35:K50)</f>
        <v>103.55555555555557</v>
      </c>
      <c r="L51" s="197">
        <f>SUM(L35:L50)</f>
        <v>46.277777777777786</v>
      </c>
      <c r="M51" s="197">
        <f>SUM(M35:M50)</f>
        <v>49.054444444444457</v>
      </c>
      <c r="N51" s="197">
        <f>SUM(N35:N50)</f>
        <v>981.08888888888907</v>
      </c>
      <c r="O51" s="198">
        <f>SUM(O35:O50)</f>
        <v>983</v>
      </c>
      <c r="P51" s="117"/>
    </row>
    <row r="52" spans="1:16" x14ac:dyDescent="0.25">
      <c r="A52" s="117"/>
      <c r="B52" s="117"/>
      <c r="C52" s="117"/>
      <c r="D52" s="117"/>
      <c r="E52" s="117"/>
      <c r="F52" s="117"/>
      <c r="G52" s="117"/>
      <c r="H52" s="117"/>
      <c r="I52" s="117"/>
      <c r="J52" s="117"/>
      <c r="K52" s="117"/>
      <c r="L52" s="117"/>
      <c r="M52" s="117"/>
      <c r="N52" s="117"/>
      <c r="O52" s="117"/>
      <c r="P52" s="117"/>
    </row>
    <row r="53" spans="1:16" x14ac:dyDescent="0.25">
      <c r="K53">
        <f>SUM(I51+49)</f>
        <v>1913</v>
      </c>
    </row>
    <row r="54" spans="1:16" x14ac:dyDescent="0.25">
      <c r="A54" s="131" t="s">
        <v>14</v>
      </c>
      <c r="B54" s="117"/>
      <c r="C54" s="117"/>
      <c r="D54" s="117"/>
      <c r="E54" s="117"/>
      <c r="F54" s="117"/>
      <c r="G54" s="117"/>
      <c r="H54" s="117"/>
      <c r="I54" s="117"/>
      <c r="J54" s="117"/>
      <c r="K54" s="117"/>
      <c r="L54" s="117"/>
      <c r="M54" s="117"/>
      <c r="N54" s="117"/>
      <c r="O54" s="117"/>
      <c r="P54" s="117"/>
    </row>
  </sheetData>
  <mergeCells count="1">
    <mergeCell ref="A3:A4"/>
  </mergeCells>
  <pageMargins left="0.5" right="0.5" top="0.3" bottom="0.5" header="0.3" footer="0.3"/>
  <pageSetup paperSize="5" orientation="landscape" r:id="rId1"/>
  <headerFooter>
    <oddFooter>&amp;F</oddFooter>
  </headerFooter>
  <rowBreaks count="1" manualBreakCount="1">
    <brk id="2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
  <sheetViews>
    <sheetView topLeftCell="A17" zoomScaleNormal="100" workbookViewId="0">
      <selection activeCell="E34" sqref="E34"/>
    </sheetView>
  </sheetViews>
  <sheetFormatPr defaultRowHeight="15" x14ac:dyDescent="0.25"/>
  <cols>
    <col min="1" max="1" width="4.7109375" customWidth="1"/>
    <col min="2" max="2" width="44.5703125" customWidth="1"/>
    <col min="4" max="4" width="10.28515625" customWidth="1"/>
    <col min="5" max="5" width="9" customWidth="1"/>
    <col min="7" max="7" width="10.28515625" customWidth="1"/>
    <col min="10" max="10" width="9.42578125" customWidth="1"/>
    <col min="12" max="12" width="9.140625" customWidth="1"/>
    <col min="24" max="24" width="18.42578125" style="2" customWidth="1"/>
  </cols>
  <sheetData>
    <row r="1" spans="2:24" ht="26.45" customHeight="1" x14ac:dyDescent="0.25">
      <c r="B1" s="269" t="s">
        <v>65</v>
      </c>
      <c r="C1" s="269"/>
      <c r="D1" s="269"/>
      <c r="E1" s="269"/>
      <c r="F1" s="269"/>
      <c r="G1" s="269"/>
      <c r="H1" s="269"/>
      <c r="I1" s="269"/>
      <c r="J1" s="269"/>
      <c r="K1" s="269"/>
      <c r="L1" s="269"/>
    </row>
    <row r="2" spans="2:24" ht="35.450000000000003" customHeight="1" thickBot="1" x14ac:dyDescent="0.3">
      <c r="B2" s="254"/>
      <c r="C2" s="270"/>
      <c r="D2" s="270"/>
      <c r="E2" s="270"/>
      <c r="P2" s="233"/>
      <c r="Q2" s="233"/>
      <c r="R2" s="233"/>
      <c r="S2" s="233"/>
      <c r="T2" s="233"/>
      <c r="U2" s="233"/>
      <c r="V2" s="233"/>
      <c r="W2" s="233"/>
    </row>
    <row r="3" spans="2:24" ht="60" customHeight="1" x14ac:dyDescent="0.25">
      <c r="B3" s="267" t="s">
        <v>167</v>
      </c>
      <c r="C3" s="274" t="s">
        <v>62</v>
      </c>
      <c r="D3" s="275"/>
      <c r="E3" s="276"/>
      <c r="F3" s="277" t="s">
        <v>152</v>
      </c>
      <c r="G3" s="278"/>
      <c r="H3" s="279"/>
      <c r="I3" s="280" t="s">
        <v>166</v>
      </c>
      <c r="J3" s="281"/>
      <c r="K3" s="282"/>
      <c r="L3" s="271" t="s">
        <v>42</v>
      </c>
      <c r="M3" s="272"/>
      <c r="N3" s="273"/>
      <c r="O3" s="263" t="s">
        <v>63</v>
      </c>
      <c r="P3" s="264"/>
      <c r="Q3" s="265"/>
      <c r="R3" s="263" t="s">
        <v>164</v>
      </c>
      <c r="S3" s="264"/>
      <c r="T3" s="265"/>
      <c r="U3" s="263" t="s">
        <v>165</v>
      </c>
      <c r="V3" s="264"/>
      <c r="W3" s="266"/>
      <c r="X3" s="253" t="s">
        <v>43</v>
      </c>
    </row>
    <row r="4" spans="2:24" ht="65.45" customHeight="1" thickBot="1" x14ac:dyDescent="0.3">
      <c r="B4" s="268"/>
      <c r="C4" s="252" t="s">
        <v>135</v>
      </c>
      <c r="D4" s="103" t="s">
        <v>1</v>
      </c>
      <c r="E4" s="104" t="s">
        <v>2</v>
      </c>
      <c r="F4" s="246" t="s">
        <v>0</v>
      </c>
      <c r="G4" s="247" t="s">
        <v>1</v>
      </c>
      <c r="H4" s="248" t="s">
        <v>2</v>
      </c>
      <c r="I4" s="246" t="s">
        <v>0</v>
      </c>
      <c r="J4" s="247" t="s">
        <v>1</v>
      </c>
      <c r="K4" s="248" t="s">
        <v>2</v>
      </c>
      <c r="L4" s="249" t="s">
        <v>135</v>
      </c>
      <c r="M4" s="250" t="str">
        <f>D4</f>
        <v>Water Service Areas</v>
      </c>
      <c r="N4" s="251" t="str">
        <f>E4</f>
        <v>P-E Well Areas</v>
      </c>
      <c r="O4" s="100" t="s">
        <v>0</v>
      </c>
      <c r="P4" s="101" t="s">
        <v>1</v>
      </c>
      <c r="Q4" s="102" t="s">
        <v>2</v>
      </c>
      <c r="R4" s="238" t="s">
        <v>0</v>
      </c>
      <c r="S4" s="239" t="s">
        <v>1</v>
      </c>
      <c r="T4" s="240" t="s">
        <v>2</v>
      </c>
      <c r="U4" s="238" t="s">
        <v>0</v>
      </c>
      <c r="V4" s="239" t="s">
        <v>1</v>
      </c>
      <c r="W4" s="240" t="s">
        <v>2</v>
      </c>
      <c r="X4" s="109" t="s">
        <v>136</v>
      </c>
    </row>
    <row r="5" spans="2:24" x14ac:dyDescent="0.25">
      <c r="B5" s="99" t="s">
        <v>66</v>
      </c>
      <c r="C5" s="136">
        <v>525</v>
      </c>
      <c r="D5" s="97">
        <v>236</v>
      </c>
      <c r="E5" s="98">
        <v>289</v>
      </c>
      <c r="F5" s="241">
        <v>373</v>
      </c>
      <c r="G5" s="97">
        <v>168</v>
      </c>
      <c r="H5" s="242">
        <v>205</v>
      </c>
      <c r="I5" s="243">
        <v>695.07664233576645</v>
      </c>
      <c r="J5" s="244">
        <v>312.66423357664235</v>
      </c>
      <c r="K5" s="245">
        <v>382.41240875912411</v>
      </c>
      <c r="L5" s="94">
        <f t="shared" ref="L5:L24" si="0">M5+N5</f>
        <v>2142</v>
      </c>
      <c r="M5" s="95">
        <v>834</v>
      </c>
      <c r="N5" s="96">
        <v>1308</v>
      </c>
      <c r="O5" s="92">
        <f t="shared" ref="O5:O25" si="1">L5-C5</f>
        <v>1617</v>
      </c>
      <c r="P5" s="93">
        <f t="shared" ref="P5:P25" si="2">M5-D5</f>
        <v>598</v>
      </c>
      <c r="Q5" s="105">
        <f t="shared" ref="Q5:Q25" si="3">N5-E5</f>
        <v>1019</v>
      </c>
      <c r="R5" s="92">
        <f t="shared" ref="R5:T20" si="4">L5-F5</f>
        <v>1769</v>
      </c>
      <c r="S5" s="93">
        <f t="shared" si="4"/>
        <v>666</v>
      </c>
      <c r="T5" s="234">
        <f t="shared" si="4"/>
        <v>1103</v>
      </c>
      <c r="U5" s="235">
        <f>L5-I5</f>
        <v>1446.9233576642337</v>
      </c>
      <c r="V5" s="236">
        <f>M5-J5</f>
        <v>521.33576642335765</v>
      </c>
      <c r="W5" s="237">
        <f>N5-K5</f>
        <v>925.58759124087589</v>
      </c>
      <c r="X5" s="227">
        <v>289</v>
      </c>
    </row>
    <row r="6" spans="2:24" ht="17.25" x14ac:dyDescent="0.25">
      <c r="B6" s="37" t="s">
        <v>133</v>
      </c>
      <c r="C6" s="137">
        <v>302</v>
      </c>
      <c r="D6" s="7">
        <v>51</v>
      </c>
      <c r="E6" s="38">
        <v>251</v>
      </c>
      <c r="F6" s="6">
        <v>214</v>
      </c>
      <c r="G6" s="7">
        <v>36</v>
      </c>
      <c r="H6" s="38">
        <v>178</v>
      </c>
      <c r="I6" s="200">
        <v>399.24817518248176</v>
      </c>
      <c r="J6" s="201">
        <v>67.34306569343066</v>
      </c>
      <c r="K6" s="202">
        <v>331.90510948905109</v>
      </c>
      <c r="L6" s="63">
        <f t="shared" si="0"/>
        <v>1213</v>
      </c>
      <c r="M6" s="64">
        <v>466</v>
      </c>
      <c r="N6" s="65">
        <v>747</v>
      </c>
      <c r="O6" s="39">
        <f t="shared" si="1"/>
        <v>911</v>
      </c>
      <c r="P6" s="40">
        <f t="shared" si="2"/>
        <v>415</v>
      </c>
      <c r="Q6" s="106">
        <f t="shared" si="3"/>
        <v>496</v>
      </c>
      <c r="R6" s="39">
        <f t="shared" si="4"/>
        <v>999</v>
      </c>
      <c r="S6" s="40">
        <f t="shared" si="4"/>
        <v>430</v>
      </c>
      <c r="T6" s="215">
        <f t="shared" si="4"/>
        <v>569</v>
      </c>
      <c r="U6" s="216">
        <f t="shared" ref="U6:W24" si="5">L6-I6</f>
        <v>813.75182481751824</v>
      </c>
      <c r="V6" s="217">
        <f t="shared" si="5"/>
        <v>398.65693430656933</v>
      </c>
      <c r="W6" s="218">
        <f t="shared" si="5"/>
        <v>415.09489051094891</v>
      </c>
      <c r="X6" s="228">
        <f>E6+26</f>
        <v>277</v>
      </c>
    </row>
    <row r="7" spans="2:24" x14ac:dyDescent="0.25">
      <c r="B7" s="37" t="s">
        <v>68</v>
      </c>
      <c r="C7" s="137">
        <v>789</v>
      </c>
      <c r="D7" s="7">
        <v>560</v>
      </c>
      <c r="E7" s="38">
        <v>229</v>
      </c>
      <c r="F7" s="6">
        <v>560</v>
      </c>
      <c r="G7" s="7">
        <v>397</v>
      </c>
      <c r="H7" s="38">
        <v>163</v>
      </c>
      <c r="I7" s="200">
        <v>1043.817518248175</v>
      </c>
      <c r="J7" s="201">
        <v>740.77372262773713</v>
      </c>
      <c r="K7" s="202">
        <v>303.04379562043795</v>
      </c>
      <c r="L7" s="63">
        <f t="shared" si="0"/>
        <v>2309</v>
      </c>
      <c r="M7" s="64">
        <v>1488</v>
      </c>
      <c r="N7" s="65">
        <v>821</v>
      </c>
      <c r="O7" s="39">
        <f t="shared" si="1"/>
        <v>1520</v>
      </c>
      <c r="P7" s="40">
        <f t="shared" si="2"/>
        <v>928</v>
      </c>
      <c r="Q7" s="106">
        <f t="shared" si="3"/>
        <v>592</v>
      </c>
      <c r="R7" s="39">
        <f t="shared" si="4"/>
        <v>1749</v>
      </c>
      <c r="S7" s="40">
        <f t="shared" si="4"/>
        <v>1091</v>
      </c>
      <c r="T7" s="215">
        <f t="shared" si="4"/>
        <v>658</v>
      </c>
      <c r="U7" s="216">
        <f t="shared" si="5"/>
        <v>1265.182481751825</v>
      </c>
      <c r="V7" s="217">
        <f t="shared" si="5"/>
        <v>747.22627737226287</v>
      </c>
      <c r="W7" s="218">
        <f t="shared" si="5"/>
        <v>517.956204379562</v>
      </c>
      <c r="X7" s="229">
        <v>229</v>
      </c>
    </row>
    <row r="8" spans="2:24" x14ac:dyDescent="0.25">
      <c r="B8" s="37" t="s">
        <v>69</v>
      </c>
      <c r="C8" s="137">
        <v>712</v>
      </c>
      <c r="D8" s="7">
        <v>488</v>
      </c>
      <c r="E8" s="38">
        <v>224</v>
      </c>
      <c r="F8" s="6">
        <v>506</v>
      </c>
      <c r="G8" s="7">
        <v>347</v>
      </c>
      <c r="H8" s="38">
        <v>159</v>
      </c>
      <c r="I8" s="200">
        <v>942.80291970802909</v>
      </c>
      <c r="J8" s="201">
        <v>646.97445255474452</v>
      </c>
      <c r="K8" s="202">
        <v>295.82846715328469</v>
      </c>
      <c r="L8" s="63">
        <f t="shared" si="0"/>
        <v>1904</v>
      </c>
      <c r="M8" s="64">
        <v>1206</v>
      </c>
      <c r="N8" s="65">
        <v>698</v>
      </c>
      <c r="O8" s="39">
        <f t="shared" si="1"/>
        <v>1192</v>
      </c>
      <c r="P8" s="40">
        <f t="shared" si="2"/>
        <v>718</v>
      </c>
      <c r="Q8" s="106">
        <f t="shared" si="3"/>
        <v>474</v>
      </c>
      <c r="R8" s="39">
        <f t="shared" si="4"/>
        <v>1398</v>
      </c>
      <c r="S8" s="40">
        <f t="shared" si="4"/>
        <v>859</v>
      </c>
      <c r="T8" s="215">
        <f t="shared" si="4"/>
        <v>539</v>
      </c>
      <c r="U8" s="216">
        <f t="shared" si="5"/>
        <v>961.19708029197091</v>
      </c>
      <c r="V8" s="217">
        <f t="shared" si="5"/>
        <v>559.02554744525548</v>
      </c>
      <c r="W8" s="218">
        <f>N8-K8</f>
        <v>402.17153284671531</v>
      </c>
      <c r="X8" s="229">
        <v>224</v>
      </c>
    </row>
    <row r="9" spans="2:24" ht="17.25" x14ac:dyDescent="0.25">
      <c r="B9" s="37" t="s">
        <v>134</v>
      </c>
      <c r="C9" s="137">
        <v>453</v>
      </c>
      <c r="D9" s="7">
        <v>249</v>
      </c>
      <c r="E9" s="38">
        <v>204</v>
      </c>
      <c r="F9" s="6">
        <v>321</v>
      </c>
      <c r="G9" s="7">
        <v>177</v>
      </c>
      <c r="H9" s="38">
        <v>145</v>
      </c>
      <c r="I9" s="200">
        <v>598.8722627737227</v>
      </c>
      <c r="J9" s="201">
        <v>329.5</v>
      </c>
      <c r="K9" s="202">
        <v>269.37226277372264</v>
      </c>
      <c r="L9" s="63">
        <f t="shared" si="0"/>
        <v>603</v>
      </c>
      <c r="M9" s="64">
        <v>379</v>
      </c>
      <c r="N9" s="65">
        <v>224</v>
      </c>
      <c r="O9" s="39">
        <f t="shared" si="1"/>
        <v>150</v>
      </c>
      <c r="P9" s="40">
        <f t="shared" si="2"/>
        <v>130</v>
      </c>
      <c r="Q9" s="106">
        <f t="shared" si="3"/>
        <v>20</v>
      </c>
      <c r="R9" s="39">
        <f t="shared" si="4"/>
        <v>282</v>
      </c>
      <c r="S9" s="40">
        <f t="shared" si="4"/>
        <v>202</v>
      </c>
      <c r="T9" s="215">
        <f t="shared" si="4"/>
        <v>79</v>
      </c>
      <c r="U9" s="216">
        <f t="shared" si="5"/>
        <v>4.1277372262773042</v>
      </c>
      <c r="V9" s="217">
        <f t="shared" si="5"/>
        <v>49.5</v>
      </c>
      <c r="W9" s="219">
        <f t="shared" si="5"/>
        <v>-45.372262773722639</v>
      </c>
      <c r="X9" s="230">
        <f>E9+D9</f>
        <v>453</v>
      </c>
    </row>
    <row r="10" spans="2:24" x14ac:dyDescent="0.25">
      <c r="B10" s="37" t="s">
        <v>71</v>
      </c>
      <c r="C10" s="137">
        <v>416</v>
      </c>
      <c r="D10" s="7">
        <v>293</v>
      </c>
      <c r="E10" s="38">
        <v>124</v>
      </c>
      <c r="F10" s="6">
        <v>296</v>
      </c>
      <c r="G10" s="7">
        <v>208</v>
      </c>
      <c r="H10" s="38">
        <v>88</v>
      </c>
      <c r="I10" s="200">
        <v>550.77007299270076</v>
      </c>
      <c r="J10" s="201">
        <v>387.22262773722628</v>
      </c>
      <c r="K10" s="202">
        <v>163.54744525547446</v>
      </c>
      <c r="L10" s="63">
        <f t="shared" si="0"/>
        <v>1093</v>
      </c>
      <c r="M10" s="64">
        <v>904</v>
      </c>
      <c r="N10" s="65">
        <v>189</v>
      </c>
      <c r="O10" s="39">
        <f t="shared" si="1"/>
        <v>677</v>
      </c>
      <c r="P10" s="40">
        <f t="shared" si="2"/>
        <v>611</v>
      </c>
      <c r="Q10" s="106">
        <f t="shared" si="3"/>
        <v>65</v>
      </c>
      <c r="R10" s="39">
        <f t="shared" si="4"/>
        <v>797</v>
      </c>
      <c r="S10" s="40">
        <f t="shared" si="4"/>
        <v>696</v>
      </c>
      <c r="T10" s="215">
        <f t="shared" si="4"/>
        <v>101</v>
      </c>
      <c r="U10" s="216">
        <f t="shared" si="5"/>
        <v>542.22992700729924</v>
      </c>
      <c r="V10" s="217">
        <f t="shared" si="5"/>
        <v>516.77737226277372</v>
      </c>
      <c r="W10" s="218">
        <f t="shared" si="5"/>
        <v>25.452554744525543</v>
      </c>
      <c r="X10" s="229">
        <v>124</v>
      </c>
    </row>
    <row r="11" spans="2:24" x14ac:dyDescent="0.25">
      <c r="B11" s="37" t="s">
        <v>72</v>
      </c>
      <c r="C11" s="137">
        <v>480</v>
      </c>
      <c r="D11" s="7">
        <v>362</v>
      </c>
      <c r="E11" s="38">
        <v>118</v>
      </c>
      <c r="F11" s="6">
        <v>341</v>
      </c>
      <c r="G11" s="7">
        <v>257</v>
      </c>
      <c r="H11" s="38">
        <v>84</v>
      </c>
      <c r="I11" s="200">
        <v>634.94890510948903</v>
      </c>
      <c r="J11" s="201">
        <v>478.61678832116786</v>
      </c>
      <c r="K11" s="202">
        <v>156.33211678832117</v>
      </c>
      <c r="L11" s="63">
        <f t="shared" si="0"/>
        <v>574</v>
      </c>
      <c r="M11" s="64">
        <v>382</v>
      </c>
      <c r="N11" s="65">
        <v>192</v>
      </c>
      <c r="O11" s="39">
        <f t="shared" si="1"/>
        <v>94</v>
      </c>
      <c r="P11" s="40">
        <f t="shared" si="2"/>
        <v>20</v>
      </c>
      <c r="Q11" s="106">
        <f t="shared" si="3"/>
        <v>74</v>
      </c>
      <c r="R11" s="39">
        <f t="shared" si="4"/>
        <v>233</v>
      </c>
      <c r="S11" s="40">
        <f t="shared" si="4"/>
        <v>125</v>
      </c>
      <c r="T11" s="215">
        <f t="shared" si="4"/>
        <v>108</v>
      </c>
      <c r="U11" s="220">
        <f t="shared" si="5"/>
        <v>-60.948905109489033</v>
      </c>
      <c r="V11" s="221">
        <f t="shared" si="5"/>
        <v>-96.61678832116786</v>
      </c>
      <c r="W11" s="218">
        <f t="shared" si="5"/>
        <v>35.667883211678827</v>
      </c>
      <c r="X11" s="229">
        <v>118</v>
      </c>
    </row>
    <row r="12" spans="2:24" x14ac:dyDescent="0.25">
      <c r="B12" s="37" t="s">
        <v>73</v>
      </c>
      <c r="C12" s="137">
        <v>149</v>
      </c>
      <c r="D12" s="7">
        <v>33</v>
      </c>
      <c r="E12" s="38">
        <v>116</v>
      </c>
      <c r="F12" s="6">
        <v>106</v>
      </c>
      <c r="G12" s="7">
        <v>23</v>
      </c>
      <c r="H12" s="38">
        <v>83</v>
      </c>
      <c r="I12" s="200">
        <v>197.21897810218977</v>
      </c>
      <c r="J12" s="201">
        <v>43.291970802919707</v>
      </c>
      <c r="K12" s="202">
        <v>153.92700729927006</v>
      </c>
      <c r="L12" s="63">
        <f t="shared" si="0"/>
        <v>593</v>
      </c>
      <c r="M12" s="64">
        <v>156</v>
      </c>
      <c r="N12" s="65">
        <v>437</v>
      </c>
      <c r="O12" s="39">
        <f t="shared" si="1"/>
        <v>444</v>
      </c>
      <c r="P12" s="40">
        <f t="shared" si="2"/>
        <v>123</v>
      </c>
      <c r="Q12" s="106">
        <f t="shared" si="3"/>
        <v>321</v>
      </c>
      <c r="R12" s="39">
        <f t="shared" si="4"/>
        <v>487</v>
      </c>
      <c r="S12" s="40">
        <f t="shared" si="4"/>
        <v>133</v>
      </c>
      <c r="T12" s="215">
        <f t="shared" si="4"/>
        <v>354</v>
      </c>
      <c r="U12" s="216">
        <f t="shared" si="5"/>
        <v>395.78102189781021</v>
      </c>
      <c r="V12" s="217">
        <f t="shared" si="5"/>
        <v>112.70802919708029</v>
      </c>
      <c r="W12" s="218">
        <f t="shared" si="5"/>
        <v>283.07299270072997</v>
      </c>
      <c r="X12" s="229">
        <v>116</v>
      </c>
    </row>
    <row r="13" spans="2:24" x14ac:dyDescent="0.25">
      <c r="B13" s="37" t="s">
        <v>74</v>
      </c>
      <c r="C13" s="137">
        <v>333</v>
      </c>
      <c r="D13" s="7">
        <v>220</v>
      </c>
      <c r="E13" s="38">
        <v>113</v>
      </c>
      <c r="F13" s="6">
        <v>236</v>
      </c>
      <c r="G13" s="7">
        <v>156</v>
      </c>
      <c r="H13" s="38">
        <v>80</v>
      </c>
      <c r="I13" s="200">
        <v>440.13503649635032</v>
      </c>
      <c r="J13" s="201">
        <v>291.01824817518246</v>
      </c>
      <c r="K13" s="202">
        <v>149.11678832116789</v>
      </c>
      <c r="L13" s="63">
        <f t="shared" si="0"/>
        <v>889</v>
      </c>
      <c r="M13" s="64">
        <v>659</v>
      </c>
      <c r="N13" s="65">
        <v>230</v>
      </c>
      <c r="O13" s="39">
        <f t="shared" si="1"/>
        <v>556</v>
      </c>
      <c r="P13" s="40">
        <f t="shared" si="2"/>
        <v>439</v>
      </c>
      <c r="Q13" s="106">
        <f t="shared" si="3"/>
        <v>117</v>
      </c>
      <c r="R13" s="39">
        <f t="shared" si="4"/>
        <v>653</v>
      </c>
      <c r="S13" s="40">
        <f t="shared" si="4"/>
        <v>503</v>
      </c>
      <c r="T13" s="215">
        <f t="shared" si="4"/>
        <v>150</v>
      </c>
      <c r="U13" s="216">
        <f t="shared" si="5"/>
        <v>448.86496350364968</v>
      </c>
      <c r="V13" s="217">
        <f t="shared" si="5"/>
        <v>367.98175182481754</v>
      </c>
      <c r="W13" s="218">
        <f t="shared" si="5"/>
        <v>80.883211678832112</v>
      </c>
      <c r="X13" s="229">
        <v>113</v>
      </c>
    </row>
    <row r="14" spans="2:24" x14ac:dyDescent="0.25">
      <c r="B14" s="37" t="s">
        <v>75</v>
      </c>
      <c r="C14" s="137">
        <v>116</v>
      </c>
      <c r="D14" s="7">
        <v>18</v>
      </c>
      <c r="E14" s="38">
        <v>98</v>
      </c>
      <c r="F14" s="6">
        <v>83</v>
      </c>
      <c r="G14" s="7">
        <v>13</v>
      </c>
      <c r="H14" s="38">
        <v>70</v>
      </c>
      <c r="I14" s="200">
        <v>153.92700729927006</v>
      </c>
      <c r="J14" s="201">
        <v>24.051094890510949</v>
      </c>
      <c r="K14" s="202">
        <v>129.87591240875912</v>
      </c>
      <c r="L14" s="63">
        <f t="shared" si="0"/>
        <v>404</v>
      </c>
      <c r="M14" s="64">
        <v>50</v>
      </c>
      <c r="N14" s="65">
        <v>354</v>
      </c>
      <c r="O14" s="39">
        <f t="shared" si="1"/>
        <v>288</v>
      </c>
      <c r="P14" s="40">
        <f t="shared" si="2"/>
        <v>32</v>
      </c>
      <c r="Q14" s="106">
        <f t="shared" si="3"/>
        <v>256</v>
      </c>
      <c r="R14" s="39">
        <f t="shared" si="4"/>
        <v>321</v>
      </c>
      <c r="S14" s="40">
        <f t="shared" si="4"/>
        <v>37</v>
      </c>
      <c r="T14" s="215">
        <f t="shared" si="4"/>
        <v>284</v>
      </c>
      <c r="U14" s="216">
        <f t="shared" si="5"/>
        <v>250.07299270072994</v>
      </c>
      <c r="V14" s="217">
        <f t="shared" si="5"/>
        <v>25.948905109489051</v>
      </c>
      <c r="W14" s="218">
        <f t="shared" si="5"/>
        <v>224.12408759124088</v>
      </c>
      <c r="X14" s="229">
        <v>98</v>
      </c>
    </row>
    <row r="15" spans="2:24" x14ac:dyDescent="0.25">
      <c r="B15" s="37" t="s">
        <v>76</v>
      </c>
      <c r="C15" s="137">
        <v>91</v>
      </c>
      <c r="D15" s="7">
        <v>24</v>
      </c>
      <c r="E15" s="38">
        <v>67</v>
      </c>
      <c r="F15" s="6">
        <v>65</v>
      </c>
      <c r="G15" s="7">
        <v>17</v>
      </c>
      <c r="H15" s="38">
        <v>48</v>
      </c>
      <c r="I15" s="200">
        <v>120.25547445255474</v>
      </c>
      <c r="J15" s="201">
        <v>31.26642335766423</v>
      </c>
      <c r="K15" s="202">
        <v>88.989051094890513</v>
      </c>
      <c r="L15" s="63">
        <f t="shared" si="0"/>
        <v>297</v>
      </c>
      <c r="M15" s="64">
        <v>60</v>
      </c>
      <c r="N15" s="65">
        <v>237</v>
      </c>
      <c r="O15" s="39">
        <f t="shared" si="1"/>
        <v>206</v>
      </c>
      <c r="P15" s="40">
        <f t="shared" si="2"/>
        <v>36</v>
      </c>
      <c r="Q15" s="106">
        <f t="shared" si="3"/>
        <v>170</v>
      </c>
      <c r="R15" s="39">
        <f t="shared" si="4"/>
        <v>232</v>
      </c>
      <c r="S15" s="40">
        <f t="shared" si="4"/>
        <v>43</v>
      </c>
      <c r="T15" s="215">
        <f t="shared" si="4"/>
        <v>189</v>
      </c>
      <c r="U15" s="216">
        <f t="shared" si="5"/>
        <v>176.74452554744528</v>
      </c>
      <c r="V15" s="217">
        <f t="shared" si="5"/>
        <v>28.73357664233577</v>
      </c>
      <c r="W15" s="218">
        <f t="shared" si="5"/>
        <v>148.0109489051095</v>
      </c>
      <c r="X15" s="229">
        <v>67</v>
      </c>
    </row>
    <row r="16" spans="2:24" x14ac:dyDescent="0.25">
      <c r="B16" s="37" t="s">
        <v>77</v>
      </c>
      <c r="C16" s="137">
        <v>78</v>
      </c>
      <c r="D16" s="7">
        <v>18</v>
      </c>
      <c r="E16" s="38">
        <v>60</v>
      </c>
      <c r="F16" s="6">
        <v>55</v>
      </c>
      <c r="G16" s="7">
        <v>13</v>
      </c>
      <c r="H16" s="38">
        <v>43</v>
      </c>
      <c r="I16" s="200">
        <v>103.41970802919708</v>
      </c>
      <c r="J16" s="201">
        <v>24.051094890510949</v>
      </c>
      <c r="K16" s="202">
        <v>79.368613138686129</v>
      </c>
      <c r="L16" s="63">
        <f t="shared" si="0"/>
        <v>454</v>
      </c>
      <c r="M16" s="64">
        <v>182</v>
      </c>
      <c r="N16" s="65">
        <v>272</v>
      </c>
      <c r="O16" s="39">
        <f t="shared" si="1"/>
        <v>376</v>
      </c>
      <c r="P16" s="40">
        <f t="shared" si="2"/>
        <v>164</v>
      </c>
      <c r="Q16" s="106">
        <f t="shared" si="3"/>
        <v>212</v>
      </c>
      <c r="R16" s="39">
        <f t="shared" si="4"/>
        <v>399</v>
      </c>
      <c r="S16" s="40">
        <f t="shared" si="4"/>
        <v>169</v>
      </c>
      <c r="T16" s="215">
        <f t="shared" si="4"/>
        <v>229</v>
      </c>
      <c r="U16" s="216">
        <f t="shared" si="5"/>
        <v>350.58029197080293</v>
      </c>
      <c r="V16" s="217">
        <f t="shared" si="5"/>
        <v>157.94890510948906</v>
      </c>
      <c r="W16" s="218">
        <f t="shared" si="5"/>
        <v>192.63138686131387</v>
      </c>
      <c r="X16" s="229">
        <v>60</v>
      </c>
    </row>
    <row r="17" spans="2:24" x14ac:dyDescent="0.25">
      <c r="B17" s="37" t="s">
        <v>78</v>
      </c>
      <c r="C17" s="137">
        <v>145</v>
      </c>
      <c r="D17" s="7">
        <v>92</v>
      </c>
      <c r="E17" s="38">
        <v>53</v>
      </c>
      <c r="F17" s="6">
        <v>103</v>
      </c>
      <c r="G17" s="7">
        <v>66</v>
      </c>
      <c r="H17" s="38">
        <v>37</v>
      </c>
      <c r="I17" s="200">
        <v>192.4087591240876</v>
      </c>
      <c r="J17" s="201">
        <v>122.66058394160584</v>
      </c>
      <c r="K17" s="202">
        <v>69.748175182481759</v>
      </c>
      <c r="L17" s="63">
        <f t="shared" si="0"/>
        <v>254</v>
      </c>
      <c r="M17" s="64">
        <v>82</v>
      </c>
      <c r="N17" s="65">
        <v>172</v>
      </c>
      <c r="O17" s="39">
        <f t="shared" si="1"/>
        <v>109</v>
      </c>
      <c r="P17" s="80">
        <f t="shared" si="2"/>
        <v>-10</v>
      </c>
      <c r="Q17" s="106">
        <f t="shared" si="3"/>
        <v>119</v>
      </c>
      <c r="R17" s="39">
        <f t="shared" si="4"/>
        <v>151</v>
      </c>
      <c r="S17" s="40">
        <f t="shared" si="4"/>
        <v>16</v>
      </c>
      <c r="T17" s="215">
        <f t="shared" si="4"/>
        <v>135</v>
      </c>
      <c r="U17" s="216">
        <f t="shared" si="5"/>
        <v>61.591240875912405</v>
      </c>
      <c r="V17" s="221">
        <f t="shared" si="5"/>
        <v>-40.660583941605836</v>
      </c>
      <c r="W17" s="218">
        <f t="shared" si="5"/>
        <v>102.25182481751824</v>
      </c>
      <c r="X17" s="229">
        <v>53</v>
      </c>
    </row>
    <row r="18" spans="2:24" x14ac:dyDescent="0.25">
      <c r="B18" s="37" t="s">
        <v>79</v>
      </c>
      <c r="C18" s="137">
        <v>327</v>
      </c>
      <c r="D18" s="7">
        <v>278</v>
      </c>
      <c r="E18" s="38">
        <v>49</v>
      </c>
      <c r="F18" s="6">
        <v>232</v>
      </c>
      <c r="G18" s="7">
        <v>197</v>
      </c>
      <c r="H18" s="38">
        <v>35</v>
      </c>
      <c r="I18" s="200">
        <v>432.91970802919712</v>
      </c>
      <c r="J18" s="201">
        <v>367.98175182481754</v>
      </c>
      <c r="K18" s="202">
        <v>64.93795620437956</v>
      </c>
      <c r="L18" s="63">
        <f t="shared" si="0"/>
        <v>1012</v>
      </c>
      <c r="M18" s="64">
        <v>800</v>
      </c>
      <c r="N18" s="65">
        <v>212</v>
      </c>
      <c r="O18" s="39">
        <f t="shared" si="1"/>
        <v>685</v>
      </c>
      <c r="P18" s="40">
        <f t="shared" si="2"/>
        <v>522</v>
      </c>
      <c r="Q18" s="106">
        <f t="shared" si="3"/>
        <v>163</v>
      </c>
      <c r="R18" s="39">
        <f t="shared" si="4"/>
        <v>780</v>
      </c>
      <c r="S18" s="40">
        <f t="shared" si="4"/>
        <v>603</v>
      </c>
      <c r="T18" s="215">
        <f t="shared" si="4"/>
        <v>177</v>
      </c>
      <c r="U18" s="216">
        <f t="shared" si="5"/>
        <v>579.08029197080282</v>
      </c>
      <c r="V18" s="217">
        <f t="shared" si="5"/>
        <v>432.01824817518246</v>
      </c>
      <c r="W18" s="218">
        <f t="shared" si="5"/>
        <v>147.06204379562044</v>
      </c>
      <c r="X18" s="229">
        <v>49</v>
      </c>
    </row>
    <row r="19" spans="2:24" x14ac:dyDescent="0.25">
      <c r="B19" s="37" t="s">
        <v>80</v>
      </c>
      <c r="C19" s="137">
        <v>38</v>
      </c>
      <c r="D19" s="7">
        <v>0</v>
      </c>
      <c r="E19" s="38">
        <v>38</v>
      </c>
      <c r="F19" s="6">
        <v>27</v>
      </c>
      <c r="G19" s="7">
        <v>0</v>
      </c>
      <c r="H19" s="38">
        <v>27</v>
      </c>
      <c r="I19" s="6">
        <v>51</v>
      </c>
      <c r="J19" s="7">
        <v>0</v>
      </c>
      <c r="K19" s="38">
        <v>51</v>
      </c>
      <c r="L19" s="63">
        <f t="shared" si="0"/>
        <v>96</v>
      </c>
      <c r="M19" s="64">
        <v>0</v>
      </c>
      <c r="N19" s="65">
        <v>96</v>
      </c>
      <c r="O19" s="39">
        <f t="shared" si="1"/>
        <v>58</v>
      </c>
      <c r="P19" s="40">
        <f t="shared" si="2"/>
        <v>0</v>
      </c>
      <c r="Q19" s="106">
        <f t="shared" si="3"/>
        <v>58</v>
      </c>
      <c r="R19" s="39">
        <f t="shared" si="4"/>
        <v>69</v>
      </c>
      <c r="S19" s="40">
        <f t="shared" si="4"/>
        <v>0</v>
      </c>
      <c r="T19" s="215">
        <f t="shared" si="4"/>
        <v>69</v>
      </c>
      <c r="U19" s="216">
        <f t="shared" si="5"/>
        <v>45</v>
      </c>
      <c r="V19" s="217">
        <f t="shared" si="5"/>
        <v>0</v>
      </c>
      <c r="W19" s="218">
        <f t="shared" si="5"/>
        <v>45</v>
      </c>
      <c r="X19" s="229">
        <v>38</v>
      </c>
    </row>
    <row r="20" spans="2:24" x14ac:dyDescent="0.25">
      <c r="B20" s="37" t="s">
        <v>81</v>
      </c>
      <c r="C20" s="6">
        <v>15</v>
      </c>
      <c r="D20" s="7">
        <v>0</v>
      </c>
      <c r="E20" s="38">
        <v>15</v>
      </c>
      <c r="F20" s="6">
        <v>10</v>
      </c>
      <c r="G20" s="7">
        <v>0</v>
      </c>
      <c r="H20" s="38">
        <v>10</v>
      </c>
      <c r="I20" s="6">
        <v>19</v>
      </c>
      <c r="J20" s="7">
        <v>0</v>
      </c>
      <c r="K20" s="38">
        <v>19</v>
      </c>
      <c r="L20" s="63">
        <f t="shared" si="0"/>
        <v>70</v>
      </c>
      <c r="M20" s="64">
        <v>0</v>
      </c>
      <c r="N20" s="65">
        <v>70</v>
      </c>
      <c r="O20" s="39">
        <f t="shared" si="1"/>
        <v>55</v>
      </c>
      <c r="P20" s="40">
        <f t="shared" si="2"/>
        <v>0</v>
      </c>
      <c r="Q20" s="106">
        <f t="shared" si="3"/>
        <v>55</v>
      </c>
      <c r="R20" s="39">
        <f t="shared" si="4"/>
        <v>60</v>
      </c>
      <c r="S20" s="40">
        <f t="shared" si="4"/>
        <v>0</v>
      </c>
      <c r="T20" s="215">
        <f t="shared" si="4"/>
        <v>60</v>
      </c>
      <c r="U20" s="216">
        <f t="shared" si="5"/>
        <v>51</v>
      </c>
      <c r="V20" s="217">
        <f t="shared" si="5"/>
        <v>0</v>
      </c>
      <c r="W20" s="218">
        <f t="shared" si="5"/>
        <v>51</v>
      </c>
      <c r="X20" s="229">
        <v>15</v>
      </c>
    </row>
    <row r="21" spans="2:24" x14ac:dyDescent="0.25">
      <c r="B21" s="37" t="s">
        <v>82</v>
      </c>
      <c r="C21" s="6">
        <v>11</v>
      </c>
      <c r="D21" s="7">
        <v>0</v>
      </c>
      <c r="E21" s="38">
        <v>11</v>
      </c>
      <c r="F21" s="6">
        <v>8</v>
      </c>
      <c r="G21" s="7">
        <v>0</v>
      </c>
      <c r="H21" s="38">
        <v>8</v>
      </c>
      <c r="I21" s="200">
        <v>14.430656934306571</v>
      </c>
      <c r="J21" s="201">
        <v>0</v>
      </c>
      <c r="K21" s="202">
        <v>14.430656934306571</v>
      </c>
      <c r="L21" s="63">
        <f t="shared" si="0"/>
        <v>35</v>
      </c>
      <c r="M21" s="64">
        <v>0</v>
      </c>
      <c r="N21" s="65">
        <v>35</v>
      </c>
      <c r="O21" s="39">
        <f t="shared" si="1"/>
        <v>24</v>
      </c>
      <c r="P21" s="40">
        <f t="shared" si="2"/>
        <v>0</v>
      </c>
      <c r="Q21" s="106">
        <f t="shared" si="3"/>
        <v>24</v>
      </c>
      <c r="R21" s="39">
        <f t="shared" ref="R21:T25" si="6">L21-F21</f>
        <v>27</v>
      </c>
      <c r="S21" s="40">
        <f t="shared" si="6"/>
        <v>0</v>
      </c>
      <c r="T21" s="215">
        <f t="shared" si="6"/>
        <v>27</v>
      </c>
      <c r="U21" s="216">
        <f t="shared" si="5"/>
        <v>20.569343065693431</v>
      </c>
      <c r="V21" s="217">
        <f t="shared" si="5"/>
        <v>0</v>
      </c>
      <c r="W21" s="218">
        <f t="shared" si="5"/>
        <v>20.569343065693431</v>
      </c>
      <c r="X21" s="229">
        <v>11</v>
      </c>
    </row>
    <row r="22" spans="2:24" x14ac:dyDescent="0.25">
      <c r="B22" s="37" t="s">
        <v>83</v>
      </c>
      <c r="C22" s="6">
        <v>0</v>
      </c>
      <c r="D22" s="7">
        <v>0</v>
      </c>
      <c r="E22" s="38">
        <v>0</v>
      </c>
      <c r="F22" s="6">
        <v>0</v>
      </c>
      <c r="G22" s="7">
        <v>0</v>
      </c>
      <c r="H22" s="38">
        <v>0</v>
      </c>
      <c r="I22" s="6">
        <v>0</v>
      </c>
      <c r="J22" s="7">
        <v>0</v>
      </c>
      <c r="K22" s="38">
        <v>0</v>
      </c>
      <c r="L22" s="63">
        <f t="shared" si="0"/>
        <v>5</v>
      </c>
      <c r="M22" s="64">
        <v>0</v>
      </c>
      <c r="N22" s="65">
        <v>5</v>
      </c>
      <c r="O22" s="39">
        <f t="shared" si="1"/>
        <v>5</v>
      </c>
      <c r="P22" s="40">
        <f t="shared" si="2"/>
        <v>0</v>
      </c>
      <c r="Q22" s="106">
        <f t="shared" si="3"/>
        <v>5</v>
      </c>
      <c r="R22" s="39">
        <f t="shared" si="6"/>
        <v>5</v>
      </c>
      <c r="S22" s="40">
        <f t="shared" si="6"/>
        <v>0</v>
      </c>
      <c r="T22" s="215">
        <f t="shared" si="6"/>
        <v>5</v>
      </c>
      <c r="U22" s="216">
        <f t="shared" si="5"/>
        <v>5</v>
      </c>
      <c r="V22" s="217">
        <f t="shared" si="5"/>
        <v>0</v>
      </c>
      <c r="W22" s="218">
        <f t="shared" si="5"/>
        <v>5</v>
      </c>
      <c r="X22" s="229">
        <v>0</v>
      </c>
    </row>
    <row r="23" spans="2:24" x14ac:dyDescent="0.25">
      <c r="B23" s="37" t="s">
        <v>84</v>
      </c>
      <c r="C23" s="6">
        <v>0</v>
      </c>
      <c r="D23" s="7">
        <v>0</v>
      </c>
      <c r="E23" s="38">
        <v>0</v>
      </c>
      <c r="F23" s="6">
        <v>0</v>
      </c>
      <c r="G23" s="7">
        <v>0</v>
      </c>
      <c r="H23" s="38">
        <v>0</v>
      </c>
      <c r="I23" s="6">
        <v>0</v>
      </c>
      <c r="J23" s="7">
        <v>0</v>
      </c>
      <c r="K23" s="38">
        <v>0</v>
      </c>
      <c r="L23" s="63">
        <f t="shared" si="0"/>
        <v>2</v>
      </c>
      <c r="M23" s="64">
        <v>0</v>
      </c>
      <c r="N23" s="65">
        <v>2</v>
      </c>
      <c r="O23" s="39">
        <f t="shared" si="1"/>
        <v>2</v>
      </c>
      <c r="P23" s="40">
        <f t="shared" si="2"/>
        <v>0</v>
      </c>
      <c r="Q23" s="106">
        <f t="shared" si="3"/>
        <v>2</v>
      </c>
      <c r="R23" s="39">
        <f t="shared" si="6"/>
        <v>2</v>
      </c>
      <c r="S23" s="40">
        <f t="shared" si="6"/>
        <v>0</v>
      </c>
      <c r="T23" s="215">
        <f t="shared" si="6"/>
        <v>2</v>
      </c>
      <c r="U23" s="216">
        <f t="shared" si="5"/>
        <v>2</v>
      </c>
      <c r="V23" s="217">
        <f t="shared" si="5"/>
        <v>0</v>
      </c>
      <c r="W23" s="218">
        <f t="shared" si="5"/>
        <v>2</v>
      </c>
      <c r="X23" s="229">
        <v>0</v>
      </c>
    </row>
    <row r="24" spans="2:24" ht="15.75" thickBot="1" x14ac:dyDescent="0.3">
      <c r="B24" s="81" t="s">
        <v>85</v>
      </c>
      <c r="C24" s="82">
        <v>0</v>
      </c>
      <c r="D24" s="83">
        <v>0</v>
      </c>
      <c r="E24" s="84">
        <v>0</v>
      </c>
      <c r="F24" s="82">
        <v>0</v>
      </c>
      <c r="G24" s="83">
        <v>0</v>
      </c>
      <c r="H24" s="84">
        <v>0</v>
      </c>
      <c r="I24" s="82">
        <v>0</v>
      </c>
      <c r="J24" s="83">
        <v>0</v>
      </c>
      <c r="K24" s="84">
        <v>0</v>
      </c>
      <c r="L24" s="89">
        <f t="shared" si="0"/>
        <v>45</v>
      </c>
      <c r="M24" s="90">
        <v>0</v>
      </c>
      <c r="N24" s="91">
        <v>45</v>
      </c>
      <c r="O24" s="85">
        <f t="shared" si="1"/>
        <v>45</v>
      </c>
      <c r="P24" s="86">
        <f t="shared" si="2"/>
        <v>0</v>
      </c>
      <c r="Q24" s="107">
        <f t="shared" si="3"/>
        <v>45</v>
      </c>
      <c r="R24" s="85">
        <f t="shared" si="6"/>
        <v>45</v>
      </c>
      <c r="S24" s="86">
        <f t="shared" si="6"/>
        <v>0</v>
      </c>
      <c r="T24" s="222">
        <f t="shared" si="6"/>
        <v>45</v>
      </c>
      <c r="U24" s="216">
        <f t="shared" si="5"/>
        <v>45</v>
      </c>
      <c r="V24" s="217">
        <f t="shared" si="5"/>
        <v>0</v>
      </c>
      <c r="W24" s="218">
        <f t="shared" si="5"/>
        <v>45</v>
      </c>
      <c r="X24" s="231">
        <v>0</v>
      </c>
    </row>
    <row r="25" spans="2:24" ht="24" customHeight="1" thickTop="1" thickBot="1" x14ac:dyDescent="0.3">
      <c r="B25" s="41" t="s">
        <v>86</v>
      </c>
      <c r="C25" s="42">
        <f t="shared" ref="C25:E25" si="7">SUM(C5:C24)</f>
        <v>4980</v>
      </c>
      <c r="D25" s="43">
        <f t="shared" si="7"/>
        <v>2922</v>
      </c>
      <c r="E25" s="44">
        <f t="shared" si="7"/>
        <v>2059</v>
      </c>
      <c r="F25" s="42">
        <f t="shared" ref="F25:G25" si="8">SUM(F5:F24)</f>
        <v>3536</v>
      </c>
      <c r="G25" s="43">
        <f t="shared" si="8"/>
        <v>2075</v>
      </c>
      <c r="H25" s="44">
        <f>SUM(H5:H24)</f>
        <v>1463</v>
      </c>
      <c r="I25" s="203">
        <f>SUM(I5:I24)</f>
        <v>6590.2518248175184</v>
      </c>
      <c r="J25" s="204">
        <f t="shared" ref="J25" si="9">SUM(J5:J24)</f>
        <v>3867.4160583941598</v>
      </c>
      <c r="K25" s="205">
        <f>SUM(K5:K24)</f>
        <v>2722.8357664233577</v>
      </c>
      <c r="L25" s="66">
        <f>SUM(L5:L24)</f>
        <v>13994</v>
      </c>
      <c r="M25" s="67">
        <f>SUM(M5:M24)</f>
        <v>7648</v>
      </c>
      <c r="N25" s="68">
        <f>SUM(N5:N24)</f>
        <v>6346</v>
      </c>
      <c r="O25" s="45">
        <f t="shared" si="1"/>
        <v>9014</v>
      </c>
      <c r="P25" s="46">
        <f t="shared" si="2"/>
        <v>4726</v>
      </c>
      <c r="Q25" s="108">
        <f t="shared" si="3"/>
        <v>4287</v>
      </c>
      <c r="R25" s="45">
        <f t="shared" si="6"/>
        <v>10458</v>
      </c>
      <c r="S25" s="46">
        <f t="shared" si="6"/>
        <v>5573</v>
      </c>
      <c r="T25" s="223">
        <f t="shared" si="6"/>
        <v>4883</v>
      </c>
      <c r="U25" s="224">
        <f>L25-I25</f>
        <v>7403.7481751824816</v>
      </c>
      <c r="V25" s="225">
        <f>M25-J25</f>
        <v>3780.5839416058402</v>
      </c>
      <c r="W25" s="226">
        <f>N25-K25</f>
        <v>3623.1642335766423</v>
      </c>
      <c r="X25" s="232">
        <f>SUM(X5:X24)</f>
        <v>2334</v>
      </c>
    </row>
    <row r="26" spans="2:24" ht="15.75" thickTop="1" x14ac:dyDescent="0.25"/>
    <row r="27" spans="2:24" x14ac:dyDescent="0.25">
      <c r="B27" s="36" t="s">
        <v>127</v>
      </c>
    </row>
    <row r="28" spans="2:24" x14ac:dyDescent="0.25">
      <c r="B28" s="87" t="s">
        <v>87</v>
      </c>
    </row>
    <row r="29" spans="2:24" x14ac:dyDescent="0.25">
      <c r="B29" s="88" t="s">
        <v>88</v>
      </c>
    </row>
    <row r="30" spans="2:24" x14ac:dyDescent="0.25">
      <c r="B30" s="88" t="s">
        <v>89</v>
      </c>
    </row>
    <row r="31" spans="2:24" x14ac:dyDescent="0.25">
      <c r="B31" s="88" t="s">
        <v>90</v>
      </c>
    </row>
    <row r="32" spans="2:24" x14ac:dyDescent="0.25">
      <c r="B32" s="88" t="s">
        <v>176</v>
      </c>
    </row>
    <row r="33" spans="2:12" x14ac:dyDescent="0.25">
      <c r="B33" s="88" t="s">
        <v>175</v>
      </c>
    </row>
    <row r="34" spans="2:12" x14ac:dyDescent="0.25">
      <c r="B34" s="88" t="s">
        <v>91</v>
      </c>
    </row>
    <row r="36" spans="2:12" x14ac:dyDescent="0.25">
      <c r="B36" s="69" t="s">
        <v>5</v>
      </c>
      <c r="C36" s="69"/>
      <c r="D36" s="69"/>
      <c r="E36" s="69"/>
      <c r="F36" s="69"/>
      <c r="G36" s="69"/>
      <c r="H36" s="69"/>
      <c r="I36" s="69"/>
      <c r="J36" s="69"/>
      <c r="K36" s="69"/>
      <c r="L36" s="69"/>
    </row>
    <row r="37" spans="2:12" x14ac:dyDescent="0.25">
      <c r="B37" s="69" t="s">
        <v>132</v>
      </c>
      <c r="C37" s="69"/>
      <c r="D37" s="69"/>
      <c r="E37" s="69"/>
      <c r="F37" s="69"/>
      <c r="G37" s="69"/>
      <c r="H37" s="69"/>
      <c r="I37" s="69"/>
      <c r="J37" s="69"/>
      <c r="K37" s="69"/>
      <c r="L37" s="69"/>
    </row>
    <row r="38" spans="2:12" x14ac:dyDescent="0.25">
      <c r="B38" s="69" t="s">
        <v>123</v>
      </c>
      <c r="C38" s="69"/>
      <c r="D38" s="69"/>
      <c r="E38" s="69"/>
      <c r="F38" s="69"/>
      <c r="G38" s="69"/>
      <c r="H38" s="69"/>
      <c r="I38" s="69"/>
      <c r="J38" s="69"/>
      <c r="K38" s="69"/>
      <c r="L38" s="69"/>
    </row>
    <row r="39" spans="2:12" ht="17.25" x14ac:dyDescent="0.25">
      <c r="B39" s="69" t="s">
        <v>137</v>
      </c>
      <c r="C39" s="69"/>
      <c r="D39" s="69"/>
      <c r="E39" s="69"/>
      <c r="F39" s="69"/>
      <c r="G39" s="69"/>
      <c r="H39" s="69"/>
      <c r="I39" s="69"/>
      <c r="J39" s="69"/>
      <c r="K39" s="69"/>
      <c r="L39" s="69"/>
    </row>
    <row r="40" spans="2:12" ht="26.25" customHeight="1" x14ac:dyDescent="0.25">
      <c r="B40" s="69" t="s">
        <v>149</v>
      </c>
      <c r="C40" s="69"/>
      <c r="D40" s="69"/>
      <c r="E40" s="69"/>
      <c r="F40" s="69"/>
      <c r="G40" s="69"/>
      <c r="H40" s="69"/>
      <c r="I40" s="69"/>
      <c r="J40" s="69"/>
      <c r="K40" s="69"/>
      <c r="L40" s="69"/>
    </row>
    <row r="41" spans="2:12" ht="17.25" x14ac:dyDescent="0.25">
      <c r="B41" s="69" t="s">
        <v>148</v>
      </c>
      <c r="C41" s="69"/>
      <c r="D41" s="69"/>
      <c r="E41" s="69"/>
      <c r="F41" s="69"/>
      <c r="G41" s="69"/>
      <c r="H41" s="69"/>
      <c r="I41" s="69"/>
      <c r="J41" s="69"/>
      <c r="K41" s="69"/>
      <c r="L41" s="69"/>
    </row>
    <row r="42" spans="2:12" x14ac:dyDescent="0.25">
      <c r="B42" s="69" t="s">
        <v>145</v>
      </c>
      <c r="C42" s="69"/>
      <c r="D42" s="69"/>
      <c r="E42" s="69"/>
      <c r="F42" s="69"/>
      <c r="G42" s="69"/>
      <c r="H42" s="69"/>
      <c r="I42" s="69"/>
      <c r="J42" s="69"/>
      <c r="K42" s="69"/>
      <c r="L42" s="69"/>
    </row>
    <row r="44" spans="2:12" x14ac:dyDescent="0.25">
      <c r="B44" s="134"/>
    </row>
    <row r="45" spans="2:12" x14ac:dyDescent="0.25">
      <c r="B45" s="135"/>
    </row>
    <row r="46" spans="2:12" x14ac:dyDescent="0.25">
      <c r="B46" s="135"/>
    </row>
  </sheetData>
  <mergeCells count="10">
    <mergeCell ref="O3:Q3"/>
    <mergeCell ref="R3:T3"/>
    <mergeCell ref="U3:W3"/>
    <mergeCell ref="B3:B4"/>
    <mergeCell ref="B1:L1"/>
    <mergeCell ref="C2:E2"/>
    <mergeCell ref="L3:N3"/>
    <mergeCell ref="C3:E3"/>
    <mergeCell ref="F3:H3"/>
    <mergeCell ref="I3:K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topLeftCell="A40" zoomScaleNormal="100" workbookViewId="0">
      <selection activeCell="L21" sqref="L21"/>
    </sheetView>
  </sheetViews>
  <sheetFormatPr defaultRowHeight="15" x14ac:dyDescent="0.25"/>
  <cols>
    <col min="1" max="1" width="4.85546875" customWidth="1"/>
    <col min="2" max="2" width="41" customWidth="1"/>
    <col min="3" max="3" width="11.5703125" customWidth="1"/>
    <col min="4" max="4" width="11.28515625" customWidth="1"/>
    <col min="5" max="5" width="12.85546875" customWidth="1"/>
    <col min="6" max="6" width="13" customWidth="1"/>
    <col min="7" max="7" width="16" customWidth="1"/>
    <col min="8" max="8" width="32.28515625" bestFit="1" customWidth="1"/>
    <col min="9" max="9" width="14.28515625" customWidth="1"/>
    <col min="10" max="10" width="6.140625" customWidth="1"/>
  </cols>
  <sheetData>
    <row r="1" spans="2:9" ht="23.25" x14ac:dyDescent="0.35">
      <c r="B1" s="284" t="s">
        <v>121</v>
      </c>
      <c r="C1" s="284"/>
      <c r="D1" s="284"/>
      <c r="E1" s="284"/>
      <c r="F1" s="284"/>
      <c r="G1" s="284"/>
      <c r="H1" s="284"/>
      <c r="I1" s="18" t="s">
        <v>122</v>
      </c>
    </row>
    <row r="2" spans="2:9" ht="12.6" customHeight="1" thickBot="1" x14ac:dyDescent="0.4">
      <c r="B2" s="291"/>
      <c r="C2" s="291"/>
      <c r="D2" s="291"/>
      <c r="E2" s="291"/>
      <c r="F2" s="291"/>
      <c r="G2" s="291"/>
      <c r="H2" s="291"/>
    </row>
    <row r="3" spans="2:9" ht="15.75" thickBot="1" x14ac:dyDescent="0.3">
      <c r="B3" s="285" t="s">
        <v>60</v>
      </c>
      <c r="C3" s="286"/>
      <c r="D3" s="286"/>
      <c r="E3" s="286"/>
      <c r="F3" s="286"/>
      <c r="G3" s="286"/>
      <c r="H3" s="287"/>
    </row>
    <row r="4" spans="2:9" ht="90.75" thickBot="1" x14ac:dyDescent="0.3">
      <c r="B4" s="47" t="s">
        <v>45</v>
      </c>
      <c r="C4" s="48" t="s">
        <v>0</v>
      </c>
      <c r="D4" s="49" t="s">
        <v>117</v>
      </c>
      <c r="E4" s="49" t="s">
        <v>118</v>
      </c>
      <c r="F4" s="48" t="s">
        <v>119</v>
      </c>
      <c r="G4" s="49" t="s">
        <v>120</v>
      </c>
      <c r="H4" s="50" t="s">
        <v>46</v>
      </c>
    </row>
    <row r="5" spans="2:9" x14ac:dyDescent="0.25">
      <c r="B5" s="51" t="s">
        <v>47</v>
      </c>
      <c r="C5" s="22">
        <v>80</v>
      </c>
      <c r="D5" s="22">
        <v>46</v>
      </c>
      <c r="E5" s="22">
        <v>17</v>
      </c>
      <c r="F5" s="22">
        <v>2</v>
      </c>
      <c r="G5" s="22">
        <v>13</v>
      </c>
      <c r="H5" s="9">
        <v>14</v>
      </c>
    </row>
    <row r="6" spans="2:9" x14ac:dyDescent="0.25">
      <c r="B6" s="52" t="s">
        <v>48</v>
      </c>
      <c r="C6" s="23">
        <v>46</v>
      </c>
      <c r="D6" s="23">
        <v>31</v>
      </c>
      <c r="E6" s="23">
        <v>6</v>
      </c>
      <c r="F6" s="23">
        <v>6</v>
      </c>
      <c r="G6" s="23">
        <v>8</v>
      </c>
      <c r="H6" s="11">
        <v>11</v>
      </c>
    </row>
    <row r="7" spans="2:9" x14ac:dyDescent="0.25">
      <c r="B7" s="53" t="s">
        <v>4</v>
      </c>
      <c r="C7" s="23">
        <f>C5+C6</f>
        <v>126</v>
      </c>
      <c r="D7" s="23">
        <f t="shared" ref="D7:H7" si="0">D5+D6</f>
        <v>77</v>
      </c>
      <c r="E7" s="23">
        <f t="shared" si="0"/>
        <v>23</v>
      </c>
      <c r="F7" s="23">
        <f t="shared" si="0"/>
        <v>8</v>
      </c>
      <c r="G7" s="23">
        <f t="shared" si="0"/>
        <v>21</v>
      </c>
      <c r="H7" s="23">
        <f t="shared" si="0"/>
        <v>25</v>
      </c>
    </row>
    <row r="8" spans="2:9" ht="15.75" thickBot="1" x14ac:dyDescent="0.3">
      <c r="B8" s="55" t="s">
        <v>49</v>
      </c>
      <c r="C8" s="56"/>
      <c r="D8" s="57">
        <f>D7/C7</f>
        <v>0.61111111111111116</v>
      </c>
      <c r="E8" s="57">
        <f>E7/D7</f>
        <v>0.29870129870129869</v>
      </c>
      <c r="F8" s="57">
        <f>F7/D7</f>
        <v>0.1038961038961039</v>
      </c>
      <c r="G8" s="57">
        <f>G7/D7</f>
        <v>0.27272727272727271</v>
      </c>
      <c r="H8" s="58">
        <f>H7/D7</f>
        <v>0.32467532467532467</v>
      </c>
      <c r="I8" s="54"/>
    </row>
    <row r="9" spans="2:9" ht="15.75" thickTop="1" x14ac:dyDescent="0.25">
      <c r="B9" s="288" t="s">
        <v>138</v>
      </c>
      <c r="C9" s="289"/>
      <c r="D9" s="289"/>
      <c r="E9" s="289"/>
      <c r="F9" s="289"/>
      <c r="G9" s="289"/>
      <c r="H9" s="290"/>
    </row>
    <row r="10" spans="2:9" ht="15.75" thickBot="1" x14ac:dyDescent="0.3">
      <c r="B10" s="59" t="s">
        <v>116</v>
      </c>
      <c r="C10" s="60"/>
      <c r="D10" s="60"/>
      <c r="E10" s="61">
        <f>C7*E8</f>
        <v>37.636363636363633</v>
      </c>
      <c r="F10" s="61">
        <f>C7*F8</f>
        <v>13.090909090909092</v>
      </c>
      <c r="G10" s="61">
        <f>C7*G8</f>
        <v>34.36363636363636</v>
      </c>
      <c r="H10" s="61">
        <f>C7*H8</f>
        <v>40.909090909090907</v>
      </c>
      <c r="I10" s="3"/>
    </row>
    <row r="11" spans="2:9" x14ac:dyDescent="0.25">
      <c r="E11" s="8"/>
      <c r="F11" s="8"/>
      <c r="G11" s="8"/>
      <c r="H11" s="8"/>
      <c r="I11" s="3"/>
    </row>
    <row r="12" spans="2:9" x14ac:dyDescent="0.25">
      <c r="B12" t="s">
        <v>146</v>
      </c>
    </row>
    <row r="16" spans="2:9" x14ac:dyDescent="0.25">
      <c r="B16" s="114"/>
      <c r="C16" s="114"/>
      <c r="D16" s="114"/>
      <c r="E16" s="114"/>
      <c r="F16" s="114"/>
      <c r="G16" s="114"/>
      <c r="H16" s="114"/>
      <c r="I16" s="62"/>
    </row>
    <row r="19" spans="2:9" ht="15.75" thickBot="1" x14ac:dyDescent="0.3"/>
    <row r="20" spans="2:9" ht="24" thickBot="1" x14ac:dyDescent="0.4">
      <c r="B20" s="292" t="s">
        <v>121</v>
      </c>
      <c r="C20" s="293"/>
      <c r="D20" s="293"/>
      <c r="E20" s="293"/>
      <c r="F20" s="293"/>
      <c r="G20" s="293"/>
      <c r="H20" s="294"/>
      <c r="I20" s="138"/>
    </row>
    <row r="21" spans="2:9" ht="60.75" thickBot="1" x14ac:dyDescent="0.3">
      <c r="B21" s="209"/>
      <c r="C21" s="210" t="s">
        <v>55</v>
      </c>
      <c r="D21" s="211" t="s">
        <v>56</v>
      </c>
      <c r="E21" s="212" t="s">
        <v>0</v>
      </c>
      <c r="F21" s="213" t="s">
        <v>50</v>
      </c>
      <c r="G21" s="214" t="s">
        <v>54</v>
      </c>
      <c r="H21" s="208" t="s">
        <v>153</v>
      </c>
      <c r="I21" s="70"/>
    </row>
    <row r="22" spans="2:9" ht="16.5" thickTop="1" thickBot="1" x14ac:dyDescent="0.3">
      <c r="B22" s="154" t="s">
        <v>129</v>
      </c>
      <c r="C22" s="155"/>
      <c r="D22" s="156"/>
      <c r="E22" s="155"/>
      <c r="F22" s="157"/>
      <c r="G22" s="158"/>
      <c r="H22" s="206"/>
      <c r="I22" s="70"/>
    </row>
    <row r="23" spans="2:9" ht="15.75" thickTop="1" x14ac:dyDescent="0.25">
      <c r="B23" s="145" t="s">
        <v>100</v>
      </c>
      <c r="C23" s="76">
        <v>0</v>
      </c>
      <c r="D23" s="76">
        <v>0</v>
      </c>
      <c r="E23" s="76">
        <f>C23+D23</f>
        <v>0</v>
      </c>
      <c r="F23" s="146">
        <f>E23*1.65</f>
        <v>0</v>
      </c>
      <c r="G23" s="143">
        <v>0</v>
      </c>
      <c r="H23" s="207"/>
      <c r="I23" s="70"/>
    </row>
    <row r="24" spans="2:9" x14ac:dyDescent="0.25">
      <c r="B24" s="141" t="s">
        <v>101</v>
      </c>
      <c r="C24" s="34">
        <v>1</v>
      </c>
      <c r="D24" s="34">
        <v>1</v>
      </c>
      <c r="E24" s="34">
        <f t="shared" ref="E24:E59" si="1">C24+D24</f>
        <v>2</v>
      </c>
      <c r="F24" s="146">
        <f>E24*1.65</f>
        <v>3.3</v>
      </c>
      <c r="G24" s="140">
        <v>3</v>
      </c>
      <c r="H24" s="207" t="s">
        <v>154</v>
      </c>
      <c r="I24" s="70"/>
    </row>
    <row r="25" spans="2:9" x14ac:dyDescent="0.25">
      <c r="B25" s="141" t="s">
        <v>102</v>
      </c>
      <c r="C25" s="34">
        <v>0</v>
      </c>
      <c r="D25" s="34">
        <v>0</v>
      </c>
      <c r="E25" s="34">
        <f t="shared" si="1"/>
        <v>0</v>
      </c>
      <c r="F25" s="146">
        <f t="shared" ref="F25:F38" si="2">E25*1.65</f>
        <v>0</v>
      </c>
      <c r="G25" s="140">
        <v>0</v>
      </c>
      <c r="H25" s="207"/>
      <c r="I25" s="70"/>
    </row>
    <row r="26" spans="2:9" x14ac:dyDescent="0.25">
      <c r="B26" s="141" t="s">
        <v>103</v>
      </c>
      <c r="C26" s="34">
        <v>0</v>
      </c>
      <c r="D26" s="34">
        <v>0</v>
      </c>
      <c r="E26" s="34">
        <f t="shared" si="1"/>
        <v>0</v>
      </c>
      <c r="F26" s="146">
        <f t="shared" si="2"/>
        <v>0</v>
      </c>
      <c r="G26" s="140">
        <v>0</v>
      </c>
      <c r="H26" s="207"/>
      <c r="I26" s="70"/>
    </row>
    <row r="27" spans="2:9" x14ac:dyDescent="0.25">
      <c r="B27" s="141" t="s">
        <v>104</v>
      </c>
      <c r="C27" s="34">
        <v>0</v>
      </c>
      <c r="D27" s="34">
        <v>0</v>
      </c>
      <c r="E27" s="34">
        <f t="shared" si="1"/>
        <v>0</v>
      </c>
      <c r="F27" s="146">
        <f t="shared" si="2"/>
        <v>0</v>
      </c>
      <c r="G27" s="140">
        <v>0</v>
      </c>
      <c r="H27" s="207"/>
      <c r="I27" s="70"/>
    </row>
    <row r="28" spans="2:9" x14ac:dyDescent="0.25">
      <c r="B28" s="141" t="s">
        <v>105</v>
      </c>
      <c r="C28" s="34">
        <v>0</v>
      </c>
      <c r="D28" s="34">
        <v>0</v>
      </c>
      <c r="E28" s="34">
        <f t="shared" si="1"/>
        <v>0</v>
      </c>
      <c r="F28" s="146">
        <f t="shared" si="2"/>
        <v>0</v>
      </c>
      <c r="G28" s="140">
        <v>0</v>
      </c>
      <c r="H28" s="207"/>
      <c r="I28" s="70"/>
    </row>
    <row r="29" spans="2:9" x14ac:dyDescent="0.25">
      <c r="B29" s="141" t="s">
        <v>106</v>
      </c>
      <c r="C29" s="34">
        <v>0</v>
      </c>
      <c r="D29" s="34">
        <v>0</v>
      </c>
      <c r="E29" s="34">
        <f t="shared" si="1"/>
        <v>0</v>
      </c>
      <c r="F29" s="146">
        <f t="shared" si="2"/>
        <v>0</v>
      </c>
      <c r="G29" s="140">
        <v>0</v>
      </c>
      <c r="H29" s="207"/>
      <c r="I29" s="70"/>
    </row>
    <row r="30" spans="2:9" x14ac:dyDescent="0.25">
      <c r="B30" s="141" t="s">
        <v>107</v>
      </c>
      <c r="C30" s="34">
        <v>0</v>
      </c>
      <c r="D30" s="34">
        <v>0</v>
      </c>
      <c r="E30" s="34">
        <f t="shared" si="1"/>
        <v>0</v>
      </c>
      <c r="F30" s="146">
        <f t="shared" si="2"/>
        <v>0</v>
      </c>
      <c r="G30" s="140">
        <v>0</v>
      </c>
      <c r="H30" s="207"/>
      <c r="I30" s="70"/>
    </row>
    <row r="31" spans="2:9" x14ac:dyDescent="0.25">
      <c r="B31" s="141" t="s">
        <v>108</v>
      </c>
      <c r="C31" s="34">
        <v>0</v>
      </c>
      <c r="D31" s="34">
        <v>0</v>
      </c>
      <c r="E31" s="34">
        <f t="shared" si="1"/>
        <v>0</v>
      </c>
      <c r="F31" s="146">
        <f t="shared" si="2"/>
        <v>0</v>
      </c>
      <c r="G31" s="140">
        <v>0</v>
      </c>
      <c r="H31" s="207"/>
      <c r="I31" s="70"/>
    </row>
    <row r="32" spans="2:9" x14ac:dyDescent="0.25">
      <c r="B32" s="141" t="s">
        <v>109</v>
      </c>
      <c r="C32" s="34">
        <v>0</v>
      </c>
      <c r="D32" s="34">
        <v>0</v>
      </c>
      <c r="E32" s="34">
        <f t="shared" si="1"/>
        <v>0</v>
      </c>
      <c r="F32" s="146">
        <f t="shared" si="2"/>
        <v>0</v>
      </c>
      <c r="G32" s="140">
        <v>0</v>
      </c>
      <c r="H32" s="207"/>
      <c r="I32" s="70"/>
    </row>
    <row r="33" spans="2:9" x14ac:dyDescent="0.25">
      <c r="B33" s="141" t="s">
        <v>110</v>
      </c>
      <c r="C33" s="34">
        <v>1</v>
      </c>
      <c r="D33" s="34">
        <v>0</v>
      </c>
      <c r="E33" s="34">
        <f t="shared" si="1"/>
        <v>1</v>
      </c>
      <c r="F33" s="146">
        <f t="shared" si="2"/>
        <v>1.65</v>
      </c>
      <c r="G33" s="140">
        <v>2</v>
      </c>
      <c r="H33" s="207" t="s">
        <v>155</v>
      </c>
      <c r="I33" s="70"/>
    </row>
    <row r="34" spans="2:9" x14ac:dyDescent="0.25">
      <c r="B34" s="141" t="s">
        <v>111</v>
      </c>
      <c r="C34" s="34">
        <v>0</v>
      </c>
      <c r="D34" s="34">
        <v>0</v>
      </c>
      <c r="E34" s="34">
        <f t="shared" si="1"/>
        <v>0</v>
      </c>
      <c r="F34" s="146">
        <f t="shared" si="2"/>
        <v>0</v>
      </c>
      <c r="G34" s="140">
        <v>0</v>
      </c>
      <c r="H34" s="207"/>
      <c r="I34" s="70"/>
    </row>
    <row r="35" spans="2:9" x14ac:dyDescent="0.25">
      <c r="B35" s="141" t="s">
        <v>112</v>
      </c>
      <c r="C35" s="34">
        <v>1</v>
      </c>
      <c r="D35" s="34">
        <v>0</v>
      </c>
      <c r="E35" s="34">
        <f t="shared" si="1"/>
        <v>1</v>
      </c>
      <c r="F35" s="146">
        <f t="shared" si="2"/>
        <v>1.65</v>
      </c>
      <c r="G35" s="140">
        <v>2</v>
      </c>
      <c r="H35" s="207" t="s">
        <v>156</v>
      </c>
      <c r="I35" s="70"/>
    </row>
    <row r="36" spans="2:9" x14ac:dyDescent="0.25">
      <c r="B36" s="141" t="s">
        <v>113</v>
      </c>
      <c r="C36" s="34">
        <v>2</v>
      </c>
      <c r="D36" s="34">
        <v>1</v>
      </c>
      <c r="E36" s="34">
        <f t="shared" si="1"/>
        <v>3</v>
      </c>
      <c r="F36" s="146">
        <f t="shared" si="2"/>
        <v>4.9499999999999993</v>
      </c>
      <c r="G36" s="140">
        <v>5</v>
      </c>
      <c r="H36" s="207" t="s">
        <v>157</v>
      </c>
      <c r="I36" s="70"/>
    </row>
    <row r="37" spans="2:9" x14ac:dyDescent="0.25">
      <c r="B37" s="141" t="s">
        <v>114</v>
      </c>
      <c r="C37" s="34">
        <v>0</v>
      </c>
      <c r="D37" s="34">
        <v>0</v>
      </c>
      <c r="E37" s="34">
        <f t="shared" si="1"/>
        <v>0</v>
      </c>
      <c r="F37" s="146">
        <f t="shared" si="2"/>
        <v>0</v>
      </c>
      <c r="G37" s="140">
        <v>0</v>
      </c>
      <c r="H37" s="207"/>
      <c r="I37" s="70"/>
    </row>
    <row r="38" spans="2:9" ht="15.75" thickBot="1" x14ac:dyDescent="0.3">
      <c r="B38" s="147" t="s">
        <v>115</v>
      </c>
      <c r="C38" s="148">
        <v>0</v>
      </c>
      <c r="D38" s="148">
        <v>0</v>
      </c>
      <c r="E38" s="148">
        <f t="shared" si="1"/>
        <v>0</v>
      </c>
      <c r="F38" s="146">
        <f t="shared" si="2"/>
        <v>0</v>
      </c>
      <c r="G38" s="149">
        <v>0</v>
      </c>
      <c r="H38" s="208"/>
      <c r="I38" s="70"/>
    </row>
    <row r="39" spans="2:9" ht="16.5" thickTop="1" thickBot="1" x14ac:dyDescent="0.3">
      <c r="B39" s="159" t="s">
        <v>130</v>
      </c>
      <c r="C39" s="160"/>
      <c r="D39" s="160"/>
      <c r="E39" s="160"/>
      <c r="F39" s="161"/>
      <c r="G39" s="158"/>
      <c r="H39" s="208"/>
      <c r="I39" s="70"/>
    </row>
    <row r="40" spans="2:9" ht="15.75" thickTop="1" x14ac:dyDescent="0.25">
      <c r="B40" s="139" t="s">
        <v>66</v>
      </c>
      <c r="C40" s="76">
        <v>2</v>
      </c>
      <c r="D40" s="76">
        <v>1</v>
      </c>
      <c r="E40" s="76">
        <f t="shared" si="1"/>
        <v>3</v>
      </c>
      <c r="F40" s="146">
        <f>E40*1.65</f>
        <v>4.9499999999999993</v>
      </c>
      <c r="G40" s="143">
        <v>5</v>
      </c>
      <c r="H40" s="207" t="s">
        <v>158</v>
      </c>
      <c r="I40" s="70"/>
    </row>
    <row r="41" spans="2:9" x14ac:dyDescent="0.25">
      <c r="B41" s="142" t="s">
        <v>67</v>
      </c>
      <c r="C41" s="34">
        <v>5</v>
      </c>
      <c r="D41" s="34">
        <v>0</v>
      </c>
      <c r="E41" s="34">
        <f t="shared" si="1"/>
        <v>5</v>
      </c>
      <c r="F41" s="146">
        <f t="shared" ref="F41:F59" si="3">E41*1.65</f>
        <v>8.25</v>
      </c>
      <c r="G41" s="140">
        <v>8</v>
      </c>
      <c r="H41" s="207" t="s">
        <v>159</v>
      </c>
      <c r="I41" s="70"/>
    </row>
    <row r="42" spans="2:9" x14ac:dyDescent="0.25">
      <c r="B42" s="142" t="s">
        <v>68</v>
      </c>
      <c r="C42" s="34">
        <v>0</v>
      </c>
      <c r="D42" s="34">
        <v>0</v>
      </c>
      <c r="E42" s="34">
        <f t="shared" si="1"/>
        <v>0</v>
      </c>
      <c r="F42" s="146">
        <f t="shared" si="3"/>
        <v>0</v>
      </c>
      <c r="G42" s="140">
        <v>0</v>
      </c>
      <c r="H42" s="207"/>
      <c r="I42" s="70"/>
    </row>
    <row r="43" spans="2:9" x14ac:dyDescent="0.25">
      <c r="B43" s="142" t="s">
        <v>124</v>
      </c>
      <c r="C43" s="34">
        <v>0</v>
      </c>
      <c r="D43" s="34">
        <v>0</v>
      </c>
      <c r="E43" s="34">
        <f t="shared" si="1"/>
        <v>0</v>
      </c>
      <c r="F43" s="146">
        <f t="shared" si="3"/>
        <v>0</v>
      </c>
      <c r="G43" s="140">
        <v>0</v>
      </c>
      <c r="H43" s="207"/>
      <c r="I43" s="70"/>
    </row>
    <row r="44" spans="2:9" x14ac:dyDescent="0.25">
      <c r="B44" s="142" t="s">
        <v>70</v>
      </c>
      <c r="C44" s="34">
        <v>0</v>
      </c>
      <c r="D44" s="34">
        <v>0</v>
      </c>
      <c r="E44" s="34">
        <f t="shared" si="1"/>
        <v>0</v>
      </c>
      <c r="F44" s="146">
        <f t="shared" si="3"/>
        <v>0</v>
      </c>
      <c r="G44" s="140">
        <v>0</v>
      </c>
      <c r="H44" s="207"/>
      <c r="I44" s="70"/>
    </row>
    <row r="45" spans="2:9" x14ac:dyDescent="0.25">
      <c r="B45" s="142" t="s">
        <v>125</v>
      </c>
      <c r="C45" s="34">
        <v>1</v>
      </c>
      <c r="D45" s="34">
        <v>0</v>
      </c>
      <c r="E45" s="34">
        <f t="shared" si="1"/>
        <v>1</v>
      </c>
      <c r="F45" s="146">
        <f t="shared" si="3"/>
        <v>1.65</v>
      </c>
      <c r="G45" s="140">
        <v>2</v>
      </c>
      <c r="H45" s="207" t="s">
        <v>160</v>
      </c>
      <c r="I45" s="70"/>
    </row>
    <row r="46" spans="2:9" x14ac:dyDescent="0.25">
      <c r="B46" s="142" t="s">
        <v>72</v>
      </c>
      <c r="C46" s="34">
        <v>3</v>
      </c>
      <c r="D46" s="34">
        <v>1</v>
      </c>
      <c r="E46" s="34">
        <f t="shared" si="1"/>
        <v>4</v>
      </c>
      <c r="F46" s="146">
        <f t="shared" si="3"/>
        <v>6.6</v>
      </c>
      <c r="G46" s="140">
        <v>7</v>
      </c>
      <c r="H46" s="207" t="s">
        <v>161</v>
      </c>
      <c r="I46" s="70"/>
    </row>
    <row r="47" spans="2:9" x14ac:dyDescent="0.25">
      <c r="B47" s="142" t="s">
        <v>73</v>
      </c>
      <c r="C47" s="34">
        <v>0</v>
      </c>
      <c r="D47" s="34">
        <v>0</v>
      </c>
      <c r="E47" s="34">
        <f t="shared" si="1"/>
        <v>0</v>
      </c>
      <c r="F47" s="146">
        <f t="shared" si="3"/>
        <v>0</v>
      </c>
      <c r="G47" s="140">
        <v>0</v>
      </c>
      <c r="H47" s="207"/>
      <c r="I47" s="70"/>
    </row>
    <row r="48" spans="2:9" x14ac:dyDescent="0.25">
      <c r="B48" s="142" t="s">
        <v>74</v>
      </c>
      <c r="C48" s="34">
        <v>0</v>
      </c>
      <c r="D48" s="34">
        <v>0</v>
      </c>
      <c r="E48" s="34">
        <f t="shared" si="1"/>
        <v>0</v>
      </c>
      <c r="F48" s="146">
        <f t="shared" si="3"/>
        <v>0</v>
      </c>
      <c r="G48" s="140">
        <v>0</v>
      </c>
      <c r="H48" s="207"/>
      <c r="I48" s="70"/>
    </row>
    <row r="49" spans="2:9" x14ac:dyDescent="0.25">
      <c r="B49" s="142" t="s">
        <v>75</v>
      </c>
      <c r="C49" s="34">
        <v>0</v>
      </c>
      <c r="D49" s="34">
        <v>0</v>
      </c>
      <c r="E49" s="34">
        <f t="shared" si="1"/>
        <v>0</v>
      </c>
      <c r="F49" s="146">
        <f t="shared" si="3"/>
        <v>0</v>
      </c>
      <c r="G49" s="140">
        <v>0</v>
      </c>
      <c r="H49" s="207"/>
      <c r="I49" s="70"/>
    </row>
    <row r="50" spans="2:9" x14ac:dyDescent="0.25">
      <c r="B50" s="142" t="s">
        <v>76</v>
      </c>
      <c r="C50" s="34">
        <v>1</v>
      </c>
      <c r="D50" s="34">
        <v>0</v>
      </c>
      <c r="E50" s="34">
        <f t="shared" si="1"/>
        <v>1</v>
      </c>
      <c r="F50" s="146">
        <f t="shared" si="3"/>
        <v>1.65</v>
      </c>
      <c r="G50" s="140">
        <v>2</v>
      </c>
      <c r="H50" s="207" t="s">
        <v>162</v>
      </c>
      <c r="I50" s="70"/>
    </row>
    <row r="51" spans="2:9" x14ac:dyDescent="0.25">
      <c r="B51" s="142" t="s">
        <v>77</v>
      </c>
      <c r="C51" s="34">
        <v>0</v>
      </c>
      <c r="D51" s="34">
        <v>0</v>
      </c>
      <c r="E51" s="34">
        <f t="shared" si="1"/>
        <v>0</v>
      </c>
      <c r="F51" s="146">
        <f t="shared" si="3"/>
        <v>0</v>
      </c>
      <c r="G51" s="140">
        <v>0</v>
      </c>
      <c r="H51" s="207"/>
      <c r="I51" s="70"/>
    </row>
    <row r="52" spans="2:9" x14ac:dyDescent="0.25">
      <c r="B52" s="142" t="s">
        <v>126</v>
      </c>
      <c r="C52" s="34">
        <v>0</v>
      </c>
      <c r="D52" s="34">
        <v>1</v>
      </c>
      <c r="E52" s="34">
        <f t="shared" si="1"/>
        <v>1</v>
      </c>
      <c r="F52" s="146">
        <f t="shared" si="3"/>
        <v>1.65</v>
      </c>
      <c r="G52" s="140">
        <v>2</v>
      </c>
      <c r="H52" s="207" t="s">
        <v>162</v>
      </c>
      <c r="I52" s="70"/>
    </row>
    <row r="53" spans="2:9" x14ac:dyDescent="0.25">
      <c r="B53" s="142" t="s">
        <v>79</v>
      </c>
      <c r="C53" s="34">
        <v>0</v>
      </c>
      <c r="D53" s="34">
        <v>1</v>
      </c>
      <c r="E53" s="34">
        <f t="shared" si="1"/>
        <v>1</v>
      </c>
      <c r="F53" s="146">
        <f t="shared" si="3"/>
        <v>1.65</v>
      </c>
      <c r="G53" s="140">
        <v>2</v>
      </c>
      <c r="H53" s="207" t="s">
        <v>163</v>
      </c>
      <c r="I53" s="70"/>
    </row>
    <row r="54" spans="2:9" x14ac:dyDescent="0.25">
      <c r="B54" s="142" t="s">
        <v>80</v>
      </c>
      <c r="C54" s="34">
        <v>0</v>
      </c>
      <c r="D54" s="34">
        <v>0</v>
      </c>
      <c r="E54" s="34">
        <f t="shared" si="1"/>
        <v>0</v>
      </c>
      <c r="F54" s="146">
        <f t="shared" si="3"/>
        <v>0</v>
      </c>
      <c r="G54" s="140">
        <v>0</v>
      </c>
      <c r="H54" s="207"/>
      <c r="I54" s="70"/>
    </row>
    <row r="55" spans="2:9" x14ac:dyDescent="0.25">
      <c r="B55" s="142" t="s">
        <v>81</v>
      </c>
      <c r="C55" s="34">
        <v>0</v>
      </c>
      <c r="D55" s="34">
        <v>0</v>
      </c>
      <c r="E55" s="34">
        <f t="shared" si="1"/>
        <v>0</v>
      </c>
      <c r="F55" s="146">
        <f t="shared" si="3"/>
        <v>0</v>
      </c>
      <c r="G55" s="140">
        <v>0</v>
      </c>
      <c r="H55" s="207"/>
      <c r="I55" s="70"/>
    </row>
    <row r="56" spans="2:9" x14ac:dyDescent="0.25">
      <c r="B56" s="142" t="s">
        <v>82</v>
      </c>
      <c r="C56" s="34">
        <v>0</v>
      </c>
      <c r="D56" s="34">
        <v>0</v>
      </c>
      <c r="E56" s="34">
        <f t="shared" si="1"/>
        <v>0</v>
      </c>
      <c r="F56" s="146">
        <f t="shared" si="3"/>
        <v>0</v>
      </c>
      <c r="G56" s="140">
        <v>0</v>
      </c>
      <c r="H56" s="207"/>
      <c r="I56" s="70"/>
    </row>
    <row r="57" spans="2:9" x14ac:dyDescent="0.25">
      <c r="B57" s="142" t="s">
        <v>83</v>
      </c>
      <c r="C57" s="34">
        <v>0</v>
      </c>
      <c r="D57" s="34">
        <v>0</v>
      </c>
      <c r="E57" s="34">
        <f t="shared" si="1"/>
        <v>0</v>
      </c>
      <c r="F57" s="146">
        <f t="shared" si="3"/>
        <v>0</v>
      </c>
      <c r="G57" s="140">
        <v>0</v>
      </c>
      <c r="H57" s="207"/>
      <c r="I57" s="70"/>
    </row>
    <row r="58" spans="2:9" x14ac:dyDescent="0.25">
      <c r="B58" s="142" t="s">
        <v>84</v>
      </c>
      <c r="C58" s="34">
        <v>0</v>
      </c>
      <c r="D58" s="34">
        <v>0</v>
      </c>
      <c r="E58" s="34">
        <f t="shared" si="1"/>
        <v>0</v>
      </c>
      <c r="F58" s="146">
        <f t="shared" si="3"/>
        <v>0</v>
      </c>
      <c r="G58" s="140">
        <v>0</v>
      </c>
      <c r="H58" s="207"/>
      <c r="I58" s="70"/>
    </row>
    <row r="59" spans="2:9" ht="15.75" thickBot="1" x14ac:dyDescent="0.3">
      <c r="B59" s="151" t="s">
        <v>85</v>
      </c>
      <c r="C59" s="148">
        <v>0</v>
      </c>
      <c r="D59" s="148">
        <v>0</v>
      </c>
      <c r="E59" s="148">
        <f t="shared" si="1"/>
        <v>0</v>
      </c>
      <c r="F59" s="146">
        <f t="shared" si="3"/>
        <v>0</v>
      </c>
      <c r="G59" s="149">
        <v>0</v>
      </c>
      <c r="H59" s="207"/>
      <c r="I59" s="70"/>
    </row>
    <row r="60" spans="2:9" ht="16.5" thickTop="1" thickBot="1" x14ac:dyDescent="0.3">
      <c r="B60" s="144" t="s">
        <v>4</v>
      </c>
      <c r="C60" s="150">
        <f>SUM(C23:C59)</f>
        <v>17</v>
      </c>
      <c r="D60" s="150">
        <f>SUM(D23:D59)</f>
        <v>6</v>
      </c>
      <c r="E60" s="150">
        <f>SUM(E23:E59)</f>
        <v>23</v>
      </c>
      <c r="F60" s="152">
        <f>SUM(F23:F59)</f>
        <v>37.949999999999996</v>
      </c>
      <c r="G60" s="153">
        <f>SUM(G23:G59)</f>
        <v>40</v>
      </c>
      <c r="H60" s="206"/>
      <c r="I60" s="70"/>
    </row>
    <row r="61" spans="2:9" ht="15.75" thickTop="1" x14ac:dyDescent="0.25">
      <c r="B61" s="186" t="s">
        <v>146</v>
      </c>
    </row>
    <row r="62" spans="2:9" ht="14.45" customHeight="1" x14ac:dyDescent="0.25">
      <c r="B62" s="283" t="s">
        <v>147</v>
      </c>
      <c r="C62" s="283"/>
      <c r="D62" s="283"/>
      <c r="E62" s="283"/>
      <c r="F62" s="283"/>
      <c r="G62" s="283"/>
      <c r="H62" s="283"/>
      <c r="I62" s="283"/>
    </row>
    <row r="63" spans="2:9" x14ac:dyDescent="0.25">
      <c r="B63" s="283"/>
      <c r="C63" s="283"/>
      <c r="D63" s="283"/>
      <c r="E63" s="283"/>
      <c r="F63" s="283"/>
      <c r="G63" s="283"/>
      <c r="H63" s="283"/>
      <c r="I63" s="283"/>
    </row>
    <row r="64" spans="2:9" x14ac:dyDescent="0.25">
      <c r="B64" s="283"/>
      <c r="C64" s="283"/>
      <c r="D64" s="283"/>
      <c r="E64" s="283"/>
      <c r="F64" s="283"/>
      <c r="G64" s="283"/>
      <c r="H64" s="283"/>
      <c r="I64" s="283"/>
    </row>
    <row r="65" spans="2:2" x14ac:dyDescent="0.25">
      <c r="B65" t="s">
        <v>14</v>
      </c>
    </row>
  </sheetData>
  <mergeCells count="6">
    <mergeCell ref="B62:I64"/>
    <mergeCell ref="B1:H1"/>
    <mergeCell ref="B3:H3"/>
    <mergeCell ref="B9:H9"/>
    <mergeCell ref="B2:H2"/>
    <mergeCell ref="B20:H20"/>
  </mergeCells>
  <pageMargins left="0.7" right="0.7" top="0.75" bottom="0.75" header="0.3" footer="0.3"/>
  <pageSetup paperSize="5" orientation="landscape" r:id="rId1"/>
  <headerFoot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CEBA3B84F2747A5ED9A15A3696A39" ma:contentTypeVersion="" ma:contentTypeDescription="Create a new document." ma:contentTypeScope="" ma:versionID="308d2dcaae61bdc5d5578745e7babb2f">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63D344-9C64-4F17-95A6-C998B7A2BB1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BE19048-08A9-4372-8D50-49493D068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970BAAD-886A-47D2-9AD9-E6BF2CCCE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King Co Data</vt:lpstr>
      <vt:lpstr>Sno Co Data</vt:lpstr>
      <vt:lpstr>UGA Spot Check</vt:lpstr>
      <vt:lpstr>'King Co Data'!Print_Area</vt:lpstr>
      <vt:lpstr>Summary!Print_Area</vt:lpstr>
      <vt:lpstr>'UGA Spot Check'!Print_Area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Bridget August</dc:creator>
  <cp:lastModifiedBy>Jones, Ingria (ECY)</cp:lastModifiedBy>
  <cp:lastPrinted>2019-08-13T22:00:03Z</cp:lastPrinted>
  <dcterms:created xsi:type="dcterms:W3CDTF">2019-08-07T16:54:49Z</dcterms:created>
  <dcterms:modified xsi:type="dcterms:W3CDTF">2019-08-26T19:10:31Z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0x010100EE7CEBA3B84F2747A5ED9A15A3696A39</vt:lpwstr>
  </property>
  <property fmtid="{D5CDD505-2E9C-101B-9397-08002B2CF9AE}" pid="3" name="_dlc_DocIdItemGuid">
    <vt:lpwstr>96fecfd9-749c-469c-9e37-cc820eec5fa6</vt:lpwstr>
  </property>
</Properties>
</file>