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teams/sites/WR/srs/EzViewDocuments/"/>
    </mc:Choice>
  </mc:AlternateContent>
  <bookViews>
    <workbookView xWindow="22935" yWindow="-105" windowWidth="23265" windowHeight="12585" activeTab="2"/>
  </bookViews>
  <sheets>
    <sheet name="Summary" sheetId="1" r:id="rId1"/>
    <sheet name="King Co Data" sheetId="2" r:id="rId2"/>
    <sheet name="Snohomish Co Data" sheetId="3" r:id="rId3"/>
    <sheet name="UGA Spot Check" sheetId="4" r:id="rId4"/>
  </sheets>
  <definedNames>
    <definedName name="_xlnm.Print_Area" localSheetId="1">'King Co Data'!$A$1:$O$45</definedName>
    <definedName name="_xlnm.Print_Area" localSheetId="2">'Snohomish Co Data'!$A$1:$M$16</definedName>
    <definedName name="_xlnm.Print_Area" localSheetId="0">Summary!$A$1:$G$28</definedName>
    <definedName name="_xlnm.Print_Area" localSheetId="3">'UGA Spot Check'!$A$1:$J$42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 r="F17" i="1"/>
  <c r="F16" i="1"/>
  <c r="F15" i="1"/>
  <c r="F14" i="1"/>
  <c r="F13" i="1"/>
  <c r="F12" i="1"/>
  <c r="F10" i="1"/>
  <c r="F7" i="1"/>
  <c r="F6" i="1"/>
  <c r="G39" i="4"/>
  <c r="C11" i="1"/>
  <c r="F11" i="1" s="1"/>
  <c r="C39" i="4"/>
  <c r="D39" i="4"/>
  <c r="E38" i="4"/>
  <c r="F38" i="4" s="1"/>
  <c r="E37" i="4"/>
  <c r="F37" i="4" s="1"/>
  <c r="E36" i="4"/>
  <c r="F36" i="4" s="1"/>
  <c r="E35" i="4"/>
  <c r="F35" i="4" s="1"/>
  <c r="E34" i="4"/>
  <c r="F34" i="4" s="1"/>
  <c r="E33" i="4"/>
  <c r="F33" i="4" s="1"/>
  <c r="E32" i="4"/>
  <c r="F32" i="4" s="1"/>
  <c r="E31" i="4"/>
  <c r="F31" i="4" s="1"/>
  <c r="E30" i="4"/>
  <c r="F30" i="4" s="1"/>
  <c r="E29" i="4"/>
  <c r="F29" i="4" s="1"/>
  <c r="E28" i="4"/>
  <c r="F28" i="4" s="1"/>
  <c r="E27" i="4"/>
  <c r="F27" i="4" s="1"/>
  <c r="H7" i="4"/>
  <c r="G7" i="4"/>
  <c r="F7" i="4"/>
  <c r="E7" i="4"/>
  <c r="D7" i="4"/>
  <c r="C7" i="4"/>
  <c r="E8" i="4" l="1"/>
  <c r="E10" i="4" s="1"/>
  <c r="G8" i="4"/>
  <c r="G10" i="4" s="1"/>
  <c r="F39" i="4"/>
  <c r="H8" i="4"/>
  <c r="H10" i="4" s="1"/>
  <c r="F18" i="1"/>
  <c r="D8" i="4"/>
  <c r="F8" i="4"/>
  <c r="F10" i="4" s="1"/>
  <c r="E39" i="4"/>
  <c r="H8" i="3" l="1"/>
  <c r="G8" i="3"/>
  <c r="E8" i="3"/>
  <c r="D8" i="3"/>
  <c r="C8" i="3"/>
  <c r="K7" i="3"/>
  <c r="J7" i="3"/>
  <c r="F7" i="3"/>
  <c r="K6" i="3"/>
  <c r="L6" i="3" s="1"/>
  <c r="J6" i="3"/>
  <c r="F6" i="3"/>
  <c r="K5" i="3"/>
  <c r="J5" i="3"/>
  <c r="F5" i="3"/>
  <c r="H3" i="3"/>
  <c r="G3" i="3"/>
  <c r="F3" i="3"/>
  <c r="O44" i="2"/>
  <c r="L7" i="3" l="1"/>
  <c r="L8" i="3" s="1"/>
  <c r="F8" i="3"/>
  <c r="I5" i="3"/>
  <c r="J8" i="3"/>
  <c r="I8" i="3"/>
  <c r="I6" i="3"/>
  <c r="K8" i="3"/>
  <c r="I7" i="3"/>
  <c r="I42" i="2"/>
  <c r="H42" i="2"/>
  <c r="I41" i="2"/>
  <c r="H41" i="2"/>
  <c r="I40" i="2"/>
  <c r="H40" i="2"/>
  <c r="G39" i="2"/>
  <c r="F39" i="2"/>
  <c r="E39" i="2"/>
  <c r="B39" i="2"/>
  <c r="I38" i="2"/>
  <c r="H38" i="2"/>
  <c r="F37" i="2"/>
  <c r="E37" i="2"/>
  <c r="B37" i="2"/>
  <c r="I36" i="2"/>
  <c r="H36" i="2"/>
  <c r="G35" i="2"/>
  <c r="F35" i="2"/>
  <c r="E35" i="2"/>
  <c r="B35" i="2"/>
  <c r="C25" i="2"/>
  <c r="B25" i="2"/>
  <c r="C23" i="2"/>
  <c r="B23" i="2"/>
  <c r="C20" i="2"/>
  <c r="B20" i="2"/>
  <c r="E20" i="2" s="1"/>
  <c r="E19" i="2"/>
  <c r="E25" i="2" s="1"/>
  <c r="E18" i="2"/>
  <c r="E17" i="2"/>
  <c r="G7" i="2" s="1"/>
  <c r="E14" i="2"/>
  <c r="E13" i="2"/>
  <c r="E12" i="2"/>
  <c r="E5" i="2"/>
  <c r="C40" i="2" s="1"/>
  <c r="C41" i="2" l="1"/>
  <c r="G44" i="2"/>
  <c r="C36" i="2"/>
  <c r="E23" i="2"/>
  <c r="H39" i="2"/>
  <c r="C39" i="2"/>
  <c r="G8" i="2"/>
  <c r="B32" i="2"/>
  <c r="C35" i="2"/>
  <c r="H37" i="2"/>
  <c r="F5" i="2"/>
  <c r="H5" i="2"/>
  <c r="E44" i="2"/>
  <c r="B44" i="2"/>
  <c r="C37" i="2"/>
  <c r="F44" i="2"/>
  <c r="H35" i="2"/>
  <c r="I37" i="2"/>
  <c r="I39" i="2"/>
  <c r="C42" i="2"/>
  <c r="I35" i="2"/>
  <c r="C38" i="2"/>
  <c r="I44" i="2" l="1"/>
  <c r="C44" i="2"/>
  <c r="B8" i="2"/>
  <c r="C8" i="2" s="1"/>
  <c r="L32" i="2"/>
  <c r="C43" i="2"/>
  <c r="E18" i="1"/>
  <c r="D18" i="1"/>
  <c r="K40" i="2" l="1"/>
  <c r="L40" i="2" s="1"/>
  <c r="M40" i="2" s="1"/>
  <c r="N40" i="2" s="1"/>
  <c r="K37" i="2"/>
  <c r="L37" i="2" s="1"/>
  <c r="M37" i="2" s="1"/>
  <c r="N37" i="2" s="1"/>
  <c r="K41" i="2"/>
  <c r="L41" i="2" s="1"/>
  <c r="M41" i="2" s="1"/>
  <c r="N41" i="2" s="1"/>
  <c r="K36" i="2"/>
  <c r="L36" i="2" s="1"/>
  <c r="M36" i="2" s="1"/>
  <c r="N36" i="2" s="1"/>
  <c r="K42" i="2"/>
  <c r="L42" i="2" s="1"/>
  <c r="M42" i="2" s="1"/>
  <c r="N42" i="2" s="1"/>
  <c r="K38" i="2"/>
  <c r="L38" i="2" s="1"/>
  <c r="M38" i="2" s="1"/>
  <c r="N38" i="2" s="1"/>
  <c r="K39" i="2"/>
  <c r="L39" i="2" s="1"/>
  <c r="M39" i="2" s="1"/>
  <c r="N39" i="2" s="1"/>
  <c r="K35" i="2"/>
  <c r="C18" i="1"/>
  <c r="K44" i="2" l="1"/>
  <c r="L35" i="2"/>
  <c r="M35" i="2" l="1"/>
  <c r="L44" i="2"/>
  <c r="N35" i="2" l="1"/>
  <c r="N44" i="2" s="1"/>
  <c r="M44" i="2"/>
</calcChain>
</file>

<file path=xl/sharedStrings.xml><?xml version="1.0" encoding="utf-8"?>
<sst xmlns="http://schemas.openxmlformats.org/spreadsheetml/2006/main" count="208" uniqueCount="159">
  <si>
    <t>WRIA 8 - Cedar-Sammamish</t>
  </si>
  <si>
    <t>Issaquah Creek*</t>
  </si>
  <si>
    <t>Lower Cedar River*</t>
  </si>
  <si>
    <t>Upper Cedar River</t>
  </si>
  <si>
    <t>28 basins in the urban area</t>
  </si>
  <si>
    <t>1 - Seattle/Lake Union</t>
  </si>
  <si>
    <t>10 - Issaquah</t>
  </si>
  <si>
    <t>11 - Lower Cedar</t>
  </si>
  <si>
    <t>2 - PS Shorelines</t>
  </si>
  <si>
    <t>3 - Swamp North</t>
  </si>
  <si>
    <t>4 - Little Bear</t>
  </si>
  <si>
    <t>5 - Samm Rvr Valley</t>
  </si>
  <si>
    <t>6  -Bear/Evans</t>
  </si>
  <si>
    <t>7 - Greater Lake Washington</t>
  </si>
  <si>
    <t>9 - Lk Samm Creeks</t>
  </si>
  <si>
    <t>King</t>
  </si>
  <si>
    <t>Sno co/King co</t>
  </si>
  <si>
    <t>8 - May/Coal (Cedar)</t>
  </si>
  <si>
    <t>12 - Upper Cedar</t>
  </si>
  <si>
    <t>8 - May/Coal</t>
  </si>
  <si>
    <t>Total WRIA 8</t>
  </si>
  <si>
    <t>Total</t>
  </si>
  <si>
    <t>Water Service Areas</t>
  </si>
  <si>
    <t>P-E Well Areas</t>
  </si>
  <si>
    <t>--</t>
  </si>
  <si>
    <t>PE Well Areas</t>
  </si>
  <si>
    <t>Totals</t>
  </si>
  <si>
    <t>Notes:</t>
  </si>
  <si>
    <t>County</t>
  </si>
  <si>
    <t>pvt</t>
  </si>
  <si>
    <t>total</t>
  </si>
  <si>
    <t>oth</t>
  </si>
  <si>
    <r>
      <t>Snohomish County (Past Trends)</t>
    </r>
    <r>
      <rPr>
        <b/>
        <vertAlign val="superscript"/>
        <sz val="11"/>
        <color theme="1"/>
        <rFont val="Calibri"/>
        <family val="2"/>
        <scheme val="minor"/>
      </rPr>
      <t>2</t>
    </r>
  </si>
  <si>
    <t>total building permits</t>
  </si>
  <si>
    <t>Water use by basin</t>
  </si>
  <si>
    <t>Number of permits</t>
  </si>
  <si>
    <t>% of growth</t>
  </si>
  <si>
    <t>pub</t>
  </si>
  <si>
    <t>Urban</t>
  </si>
  <si>
    <t>* = a portion of this basin in the urban area</t>
  </si>
  <si>
    <t>Draft 7/18/2019</t>
  </si>
  <si>
    <t>WRIA (Ecology Coverage)</t>
  </si>
  <si>
    <t>(KC building permiting data)</t>
  </si>
  <si>
    <t>2000-2009</t>
  </si>
  <si>
    <t>2010-2017</t>
  </si>
  <si>
    <t>permits per year</t>
  </si>
  <si>
    <t>% of county-wide total</t>
  </si>
  <si>
    <t>WRIA 8</t>
  </si>
  <si>
    <t>PE/yr</t>
  </si>
  <si>
    <t>20 yr est</t>
  </si>
  <si>
    <t>Historic %</t>
  </si>
  <si>
    <t>Water District info</t>
  </si>
  <si>
    <t xml:space="preserve">Ag PD </t>
  </si>
  <si>
    <t>permits</t>
  </si>
  <si>
    <t>% of WRIA total</t>
  </si>
  <si>
    <t>wtr dst (within water district)</t>
  </si>
  <si>
    <t>no dst (outside water district)</t>
  </si>
  <si>
    <t>Forest PD</t>
  </si>
  <si>
    <t>Water service info</t>
  </si>
  <si>
    <t>(derived from KC parcel attribute data)</t>
  </si>
  <si>
    <t>public water system (pub)</t>
  </si>
  <si>
    <t>other</t>
  </si>
  <si>
    <t xml:space="preserve">Existing </t>
  </si>
  <si>
    <t>PE wells</t>
  </si>
  <si>
    <t>error</t>
  </si>
  <si>
    <t>historic growth by KC stream basin</t>
  </si>
  <si>
    <t>39 basins in WRIA 8 within KC</t>
  </si>
  <si>
    <t>52% of the area in rural King County</t>
  </si>
  <si>
    <t>permits/year</t>
  </si>
  <si>
    <t>Wells per year + 6% error</t>
  </si>
  <si>
    <t>Total wells in 20 years</t>
  </si>
  <si>
    <t>Growth Forecast Scenarios - New Homes</t>
  </si>
  <si>
    <t>2019 Available Capacity</t>
  </si>
  <si>
    <t>Total PE Wells</t>
  </si>
  <si>
    <t>GeoEngineers Proposed PE Well Allocation</t>
  </si>
  <si>
    <t>Added by GeoEngineers:</t>
  </si>
  <si>
    <t>North Creek HUC = Swamp/North Subbasin (KC proposal)</t>
  </si>
  <si>
    <t xml:space="preserve">Bear Creek - Sammamish HUC = Little Bear Subbasin (KC proposal) </t>
  </si>
  <si>
    <t>Bear Creek HUC = Bear/Evans Subbasin (KC proposal)</t>
  </si>
  <si>
    <t>Total new home forecast (440) = calculated new residential dewllings per year (22) x WREC planning time period (20 years)</t>
  </si>
  <si>
    <t>Period</t>
  </si>
  <si>
    <t>Incorrect (Location, Date, etc.)</t>
  </si>
  <si>
    <t>Other (Test, Municipal, Dewatering, Industrial, Mitigation, UIC, Deepened or Refurbished)</t>
  </si>
  <si>
    <t>1998-2007</t>
  </si>
  <si>
    <t>2008-2018</t>
  </si>
  <si>
    <t>Percent of Total</t>
  </si>
  <si>
    <t>The remaining domestic wells that have been spot checked are located in the following City UGAs: Maple Valley (1), Mukileto (1), Mill Creek (3), Maltby (1), Kirkland (1) and Seattle (1).</t>
  </si>
  <si>
    <t>City UGA</t>
  </si>
  <si>
    <t xml:space="preserve">Mukilteo </t>
  </si>
  <si>
    <t>Mill Creek</t>
  </si>
  <si>
    <t>King co</t>
  </si>
  <si>
    <t>Maltby</t>
  </si>
  <si>
    <t>Kirkland/Seattle</t>
  </si>
  <si>
    <t>Maple Valley</t>
  </si>
  <si>
    <t>Service Area/City Policy Notes:</t>
  </si>
  <si>
    <t>Redmond - PE wells not allowed. No new wells for irrigation that they know of.</t>
  </si>
  <si>
    <t>Sammamish - PE wells not allowed. No known areas that can not be reached by public water.</t>
  </si>
  <si>
    <t>The Highlands - all public water. Most lots have wells for irrigation due to large lawn size.</t>
  </si>
  <si>
    <t>Woodway - all public water. Many lots have wells for irrigation due to large lawn size.</t>
  </si>
  <si>
    <t>Domestic and Irrigation well numbers have been adjusted based on information provided by The Highlands, Olympic View</t>
  </si>
  <si>
    <t xml:space="preserve">       Water &amp; Sewer District, City of Redmond, City of Sammamish and cross-checking well address with UGA boundary.</t>
  </si>
  <si>
    <t>Total Potential Wells in UGA in 20 years</t>
  </si>
  <si>
    <r>
      <t>King County              (Past Trends)</t>
    </r>
    <r>
      <rPr>
        <b/>
        <vertAlign val="superscript"/>
        <sz val="11"/>
        <color theme="1"/>
        <rFont val="Calibri"/>
        <family val="2"/>
        <scheme val="minor"/>
      </rPr>
      <t>1</t>
    </r>
  </si>
  <si>
    <t>Subbasin 4 - Little Bear = Includes Snohomish County "Bear Creek - Sammamish River" HUC</t>
  </si>
  <si>
    <t>Subbasin 6 - Bear/Evans = Includes King County "Bear Creek" and "Evans Creek" basins combined and Snohomish County "Bear Creek" HUC</t>
  </si>
  <si>
    <t xml:space="preserve">Subbasin 9 - Lk Samm creeks = Includes King County "Tibbets Creek" basin </t>
  </si>
  <si>
    <t>Subbasin 3 - Swamp/North = Includes Snohomish County "North Creek" HUC. All UGA wells predicted to be in North Creek portion.</t>
  </si>
  <si>
    <t>3 - Swamp/North</t>
  </si>
  <si>
    <t>Proposed King County Subbasins*</t>
  </si>
  <si>
    <t>Prepared by GeoEngineers</t>
  </si>
  <si>
    <t>* Subbasins from King County proposal dated 7/25/19. Also referred to as "WRIA 8 Draft Subbasin C" on web map. This proposal was used because it delineates subbasins on a finer scale than the other proposals.</t>
  </si>
  <si>
    <r>
      <rPr>
        <sz val="11"/>
        <color theme="1"/>
        <rFont val="Calibri"/>
        <family val="2"/>
        <scheme val="minor"/>
      </rPr>
      <t xml:space="preserve">Projected PE well growth exceeds capacity in the Bear Creek - Sammamish River HUC.  </t>
    </r>
    <r>
      <rPr>
        <b/>
        <i/>
        <sz val="11"/>
        <color theme="1"/>
        <rFont val="Calibri"/>
        <family val="2"/>
        <scheme val="minor"/>
      </rPr>
      <t>GeoEngineers proposes reallocating the growth to the Bear Creek HUC.</t>
    </r>
  </si>
  <si>
    <t>Total Rounded</t>
  </si>
  <si>
    <t xml:space="preserve">Total Rounded </t>
  </si>
  <si>
    <t>Spot Checked 1998-2007</t>
  </si>
  <si>
    <t>Spot Checked 2008-2018</t>
  </si>
  <si>
    <t>Potential number of new wells based on percentage of past 20 year total (205)</t>
  </si>
  <si>
    <t>Future Permit-Exempt wells</t>
  </si>
  <si>
    <t>Average wells per year (pvt)</t>
  </si>
  <si>
    <t>Average bldg. permits per year</t>
  </si>
  <si>
    <r>
      <t>Total PE Wells</t>
    </r>
    <r>
      <rPr>
        <vertAlign val="superscript"/>
        <sz val="11"/>
        <color theme="1"/>
        <rFont val="Calibri"/>
        <family val="2"/>
        <scheme val="minor"/>
      </rPr>
      <t>4</t>
    </r>
    <r>
      <rPr>
        <b/>
        <sz val="11"/>
        <color theme="1"/>
        <rFont val="Calibri"/>
        <family val="2"/>
        <scheme val="minor"/>
      </rPr>
      <t xml:space="preserve"> per Subbasin</t>
    </r>
  </si>
  <si>
    <r>
      <rPr>
        <vertAlign val="superscript"/>
        <sz val="11"/>
        <color theme="1"/>
        <rFont val="Calibri"/>
        <family val="2"/>
        <scheme val="minor"/>
      </rPr>
      <t>4</t>
    </r>
    <r>
      <rPr>
        <sz val="11"/>
        <color theme="1"/>
        <rFont val="Calibri"/>
        <family val="2"/>
        <scheme val="minor"/>
      </rPr>
      <t xml:space="preserve"> = "PE wells" is used to refer to new homes associated with new permit-exempt wells and also new homes added to existing wells on group systems relying on
permit-exempt wells. </t>
    </r>
  </si>
  <si>
    <r>
      <t>PE Wells in UGA</t>
    </r>
    <r>
      <rPr>
        <vertAlign val="superscript"/>
        <sz val="11"/>
        <color theme="1"/>
        <rFont val="Calibri"/>
        <family val="2"/>
        <scheme val="minor"/>
      </rPr>
      <t>3</t>
    </r>
  </si>
  <si>
    <t>well - private water (pvt)</t>
  </si>
  <si>
    <t>Well</t>
  </si>
  <si>
    <t>Public</t>
  </si>
  <si>
    <t>% well</t>
  </si>
  <si>
    <t>% pub</t>
  </si>
  <si>
    <t>A total of 21 wells logged as "domestic" are actually irrigation wells and were moved to that category.</t>
  </si>
  <si>
    <t>King County - Unincorporated WRIA 8 Growth Projections</t>
  </si>
  <si>
    <t>Snohomish County - Unincorporated WRIA 8 Growth Projections</t>
  </si>
  <si>
    <t>GeoEngineers - Incorporated (UGA) WRIA 8 Growth Projections</t>
  </si>
  <si>
    <t>Total Wells</t>
  </si>
  <si>
    <t>Total Wells Spot Checked</t>
  </si>
  <si>
    <t>Domestic wells (includes Group B wells)</t>
  </si>
  <si>
    <t>Irrigation wells</t>
  </si>
  <si>
    <t>Proposed subbasins</t>
  </si>
  <si>
    <t>Alerwood Water and Wastewater District - expanding service rapidly.</t>
  </si>
  <si>
    <t xml:space="preserve">Note: This tables includes data for wells in Ecology's Well Report database, filtered for a depth greater than 30 feet and diameter 6-8 inches. Ecology does not have the ability to filter for permit-exempt domestic wells. Information in the database is based on records submitted by the driller. Well Report Data and Images released from the Department of Ecology are provided on an “AS IS” basis, without warranty of any kind.   </t>
  </si>
  <si>
    <t>GeoEngineers - UGA Well Log Spot Check</t>
  </si>
  <si>
    <r>
      <rPr>
        <vertAlign val="superscript"/>
        <sz val="11"/>
        <color theme="1"/>
        <rFont val="Calibri"/>
        <family val="2"/>
        <scheme val="minor"/>
      </rPr>
      <t>1</t>
    </r>
    <r>
      <rPr>
        <sz val="11"/>
        <color theme="1"/>
        <rFont val="Calibri"/>
        <family val="2"/>
        <scheme val="minor"/>
      </rPr>
      <t xml:space="preserve"> = Based on 20 year estimate of potential new permit exempt wells plus 6% error in unincorporated King County.</t>
    </r>
  </si>
  <si>
    <r>
      <rPr>
        <vertAlign val="superscript"/>
        <sz val="11"/>
        <color theme="1"/>
        <rFont val="Calibri"/>
        <family val="2"/>
        <scheme val="minor"/>
      </rPr>
      <t>2</t>
    </r>
    <r>
      <rPr>
        <sz val="11"/>
        <color theme="1"/>
        <rFont val="Calibri"/>
        <family val="2"/>
        <scheme val="minor"/>
      </rPr>
      <t xml:space="preserve"> = Based on 20 year estimate of potential new permit exempt wells in unincorporated Snohomish County.  59 of the wells projected for "Little Bear" are reallocated to "Bear/Evans" to account for shortfall of available parcels in Little Bear Creek subbasin.</t>
    </r>
  </si>
  <si>
    <r>
      <rPr>
        <vertAlign val="superscript"/>
        <sz val="11"/>
        <color theme="1"/>
        <rFont val="Calibri"/>
        <family val="2"/>
        <scheme val="minor"/>
      </rPr>
      <t>3</t>
    </r>
    <r>
      <rPr>
        <sz val="11"/>
        <color theme="1"/>
        <rFont val="Calibri"/>
        <family val="2"/>
        <scheme val="minor"/>
      </rPr>
      <t xml:space="preserve"> = Based on spot check of Ecology well log database. Accounts for potential wells within the incorporated Urban Growth Area over the 20-year planning period.</t>
    </r>
  </si>
  <si>
    <r>
      <t xml:space="preserve">Growth Projections for new PE wells in WRIA 8 - Cedar-Sammamish
</t>
    </r>
    <r>
      <rPr>
        <b/>
        <sz val="14"/>
        <color theme="1"/>
        <rFont val="Calibri"/>
        <family val="2"/>
        <scheme val="minor"/>
      </rPr>
      <t>2018-2038</t>
    </r>
  </si>
  <si>
    <t>Draft 8/9/19</t>
  </si>
  <si>
    <t>Wells 
(private water)</t>
  </si>
  <si>
    <t>draft as of 8/14/19</t>
  </si>
  <si>
    <t>North Creek (Swamp/North Subbasin)</t>
  </si>
  <si>
    <t>Bear Creek - Sammamish River (Little Bear Subbasin)</t>
  </si>
  <si>
    <t>Bear Creek (Bear/Evans Subbasin)</t>
  </si>
  <si>
    <t>Bear Creek*
(6-Bear/Evans Subbasin)</t>
  </si>
  <si>
    <t>Tibbetts Creek* 
(9-Lk Samm Creeks Subbasin)</t>
  </si>
  <si>
    <t>May Creek*
(8-May/Coal Subbasin)</t>
  </si>
  <si>
    <r>
      <t xml:space="preserve">Stream Basin w/ permits
</t>
    </r>
    <r>
      <rPr>
        <sz val="9"/>
        <color theme="1"/>
        <rFont val="Calibri"/>
        <family val="2"/>
        <scheme val="minor"/>
      </rPr>
      <t>(proposed subbasin, if different name)</t>
    </r>
  </si>
  <si>
    <t>Evans Creek*
(6-Bear/Evans Subbasin)</t>
  </si>
  <si>
    <t>Sammamish River*
(Samm Rivr Valley)</t>
  </si>
  <si>
    <t xml:space="preserve">SNOHOMISH COUNTY                                          
WRIA 8 - HUC 12 Name
(proposed subbasin name)
</t>
  </si>
  <si>
    <t>Past Trends</t>
  </si>
  <si>
    <t>Capacity Surplus or Shortfall       - Past Trends Scenario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</si>
</sst>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b/>
      <i/>
      <sz val="11"/>
      <color theme="1"/>
      <name val="Calibri"/>
      <family val="2"/>
      <scheme val="minor"/>
    </font>
    <font>
      <b/>
      <sz val="14"/>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BEF"/>
        <bgColor indexed="64"/>
      </patternFill>
    </fill>
    <fill>
      <patternFill patternType="solid">
        <fgColor theme="9" tint="0.79998168889431442"/>
        <bgColor indexed="64"/>
      </patternFill>
    </fill>
    <fill>
      <patternFill patternType="solid">
        <fgColor rgb="FFEFF6FB"/>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auto="1"/>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auto="1"/>
      </left>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top/>
      <bottom style="thin">
        <color indexed="64"/>
      </bottom>
      <diagonal/>
    </border>
    <border>
      <left style="thick">
        <color auto="1"/>
      </left>
      <right/>
      <top style="double">
        <color auto="1"/>
      </top>
      <bottom style="thick">
        <color auto="1"/>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right style="thin">
        <color auto="1"/>
      </right>
      <top style="double">
        <color auto="1"/>
      </top>
      <bottom style="thick">
        <color auto="1"/>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185">
    <xf numFmtId="0" fontId="0" fillId="0" borderId="0" xfId="0"/>
    <xf numFmtId="0" fontId="2" fillId="0" borderId="0" xfId="0" applyFont="1"/>
    <xf numFmtId="0" fontId="0" fillId="0" borderId="0" xfId="0" applyAlignment="1">
      <alignment horizontal="center"/>
    </xf>
    <xf numFmtId="1" fontId="0" fillId="0" borderId="0" xfId="0" applyNumberFormat="1"/>
    <xf numFmtId="0" fontId="0" fillId="0" borderId="0" xfId="0" applyFill="1" applyBorder="1"/>
    <xf numFmtId="0" fontId="0" fillId="0" borderId="0" xfId="0" applyBorder="1" applyAlignment="1">
      <alignment horizontal="center"/>
    </xf>
    <xf numFmtId="0" fontId="0" fillId="3" borderId="2" xfId="0" applyFill="1" applyBorder="1"/>
    <xf numFmtId="0" fontId="0" fillId="3" borderId="1" xfId="0" applyFill="1" applyBorder="1"/>
    <xf numFmtId="1" fontId="0" fillId="0" borderId="0" xfId="0" applyNumberFormat="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xf numFmtId="0" fontId="0" fillId="0" borderId="12" xfId="0" applyBorder="1" applyAlignment="1">
      <alignment horizontal="left"/>
    </xf>
    <xf numFmtId="0" fontId="0" fillId="0" borderId="13" xfId="0" applyBorder="1" applyAlignment="1">
      <alignment horizontal="left"/>
    </xf>
    <xf numFmtId="0" fontId="0" fillId="0" borderId="13" xfId="0" applyBorder="1"/>
    <xf numFmtId="0" fontId="0" fillId="0" borderId="4" xfId="0" applyBorder="1" applyAlignment="1">
      <alignment horizontal="center"/>
    </xf>
    <xf numFmtId="0" fontId="1" fillId="0" borderId="10" xfId="0" applyFont="1" applyBorder="1" applyAlignment="1">
      <alignment horizontal="center" vertical="center" wrapText="1"/>
    </xf>
    <xf numFmtId="0" fontId="0" fillId="0" borderId="12" xfId="0" quotePrefix="1" applyBorder="1" applyAlignment="1">
      <alignment horizontal="center"/>
    </xf>
    <xf numFmtId="0" fontId="0" fillId="0" borderId="13" xfId="0" quotePrefix="1" applyBorder="1" applyAlignment="1">
      <alignment horizontal="center"/>
    </xf>
    <xf numFmtId="0" fontId="0" fillId="0" borderId="13" xfId="0" applyBorder="1" applyAlignment="1">
      <alignment horizontal="center"/>
    </xf>
    <xf numFmtId="0" fontId="1" fillId="0" borderId="14" xfId="0" applyFont="1" applyBorder="1" applyAlignment="1">
      <alignment horizontal="center" vertical="center" wrapText="1"/>
    </xf>
    <xf numFmtId="0" fontId="1" fillId="0" borderId="10" xfId="0" applyFont="1" applyBorder="1" applyAlignment="1">
      <alignment horizontal="center" wrapText="1"/>
    </xf>
    <xf numFmtId="0" fontId="0" fillId="0" borderId="12" xfId="0" applyBorder="1" applyAlignment="1">
      <alignment horizontal="center"/>
    </xf>
    <xf numFmtId="1" fontId="0" fillId="0" borderId="13" xfId="0" applyNumberFormat="1" applyBorder="1" applyAlignment="1">
      <alignment horizontal="center"/>
    </xf>
    <xf numFmtId="0" fontId="6" fillId="0" borderId="0" xfId="0" applyFont="1"/>
    <xf numFmtId="0" fontId="1" fillId="0" borderId="16" xfId="0" applyFont="1" applyBorder="1" applyAlignment="1">
      <alignment horizontal="center"/>
    </xf>
    <xf numFmtId="1" fontId="1" fillId="0" borderId="17" xfId="0" applyNumberFormat="1" applyFont="1" applyBorder="1" applyAlignment="1">
      <alignment horizontal="center"/>
    </xf>
    <xf numFmtId="0" fontId="1" fillId="0" borderId="0" xfId="0" applyFont="1" applyFill="1" applyBorder="1" applyAlignment="1">
      <alignment horizontal="center"/>
    </xf>
    <xf numFmtId="0" fontId="1" fillId="0" borderId="18" xfId="0" applyFont="1" applyBorder="1" applyAlignment="1">
      <alignment horizontal="center" vertical="center" wrapText="1"/>
    </xf>
    <xf numFmtId="0" fontId="0" fillId="0" borderId="19" xfId="0" applyBorder="1" applyAlignment="1">
      <alignment horizontal="center"/>
    </xf>
    <xf numFmtId="0" fontId="0" fillId="0" borderId="19" xfId="0" applyBorder="1"/>
    <xf numFmtId="0" fontId="0" fillId="0" borderId="20" xfId="0" applyBorder="1" applyAlignment="1">
      <alignment horizontal="center"/>
    </xf>
    <xf numFmtId="9" fontId="0" fillId="0" borderId="20" xfId="1"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9" fontId="0" fillId="2" borderId="1" xfId="1" applyFont="1" applyFill="1" applyBorder="1" applyAlignment="1">
      <alignment horizontal="center"/>
    </xf>
    <xf numFmtId="9" fontId="0" fillId="0" borderId="0" xfId="1" applyFont="1" applyAlignment="1">
      <alignment horizontal="center"/>
    </xf>
    <xf numFmtId="0" fontId="0" fillId="0" borderId="0" xfId="0" applyAlignment="1">
      <alignment horizontal="center" vertical="center"/>
    </xf>
    <xf numFmtId="2" fontId="0" fillId="0" borderId="0" xfId="0" applyNumberFormat="1" applyAlignment="1">
      <alignment horizontal="left"/>
    </xf>
    <xf numFmtId="9" fontId="0" fillId="0" borderId="0" xfId="0" applyNumberFormat="1" applyAlignment="1">
      <alignment horizontal="center"/>
    </xf>
    <xf numFmtId="0" fontId="1" fillId="2" borderId="0" xfId="0" applyFont="1" applyFill="1"/>
    <xf numFmtId="0" fontId="1" fillId="2" borderId="0" xfId="0" applyFont="1" applyFill="1" applyAlignment="1">
      <alignment horizontal="center"/>
    </xf>
    <xf numFmtId="0" fontId="0" fillId="2" borderId="0" xfId="0" applyFill="1"/>
    <xf numFmtId="0" fontId="0" fillId="0" borderId="0" xfId="0" applyAlignment="1">
      <alignment horizontal="right"/>
    </xf>
    <xf numFmtId="164" fontId="0" fillId="0" borderId="0" xfId="0" applyNumberFormat="1"/>
    <xf numFmtId="1" fontId="1" fillId="2" borderId="0" xfId="0" applyNumberFormat="1" applyFont="1" applyFill="1" applyAlignment="1">
      <alignment horizontal="center"/>
    </xf>
    <xf numFmtId="0" fontId="0" fillId="0" borderId="1" xfId="0" applyBorder="1"/>
    <xf numFmtId="0" fontId="0" fillId="0" borderId="1" xfId="0" applyBorder="1" applyAlignment="1">
      <alignment horizontal="left"/>
    </xf>
    <xf numFmtId="0" fontId="1" fillId="0" borderId="0" xfId="0" applyFont="1"/>
    <xf numFmtId="2" fontId="0" fillId="4" borderId="0" xfId="0" applyNumberFormat="1" applyFill="1" applyAlignment="1">
      <alignment horizontal="left"/>
    </xf>
    <xf numFmtId="1" fontId="0" fillId="4" borderId="0" xfId="0" applyNumberFormat="1" applyFill="1" applyAlignment="1">
      <alignment horizontal="center"/>
    </xf>
    <xf numFmtId="0" fontId="0" fillId="4" borderId="1" xfId="0" applyFill="1" applyBorder="1" applyAlignment="1">
      <alignment horizontal="center" wrapText="1"/>
    </xf>
    <xf numFmtId="2" fontId="0" fillId="4" borderId="1" xfId="0" applyNumberFormat="1" applyFill="1" applyBorder="1" applyAlignment="1">
      <alignment horizontal="center"/>
    </xf>
    <xf numFmtId="0" fontId="1" fillId="4" borderId="1" xfId="0" applyFont="1" applyFill="1" applyBorder="1" applyAlignment="1">
      <alignment horizontal="center"/>
    </xf>
    <xf numFmtId="1" fontId="1" fillId="4" borderId="0" xfId="0" applyNumberFormat="1" applyFont="1" applyFill="1" applyAlignment="1">
      <alignment horizontal="center"/>
    </xf>
    <xf numFmtId="0" fontId="0" fillId="4" borderId="0" xfId="0" applyFill="1"/>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0" fillId="0" borderId="21" xfId="0" applyBorder="1"/>
    <xf numFmtId="0" fontId="0" fillId="3" borderId="22" xfId="0" applyFill="1" applyBorder="1"/>
    <xf numFmtId="0" fontId="0" fillId="5" borderId="2" xfId="0" applyFill="1" applyBorder="1"/>
    <xf numFmtId="0" fontId="0" fillId="5" borderId="1" xfId="0" applyFill="1" applyBorder="1"/>
    <xf numFmtId="0" fontId="0" fillId="5" borderId="22" xfId="0" applyFill="1" applyBorder="1"/>
    <xf numFmtId="0" fontId="8" fillId="5" borderId="22" xfId="0" applyFont="1" applyFill="1" applyBorder="1"/>
    <xf numFmtId="0" fontId="0" fillId="0" borderId="26" xfId="0" applyBorder="1"/>
    <xf numFmtId="0" fontId="0" fillId="3" borderId="27" xfId="0" applyFill="1" applyBorder="1"/>
    <xf numFmtId="0" fontId="0" fillId="3" borderId="28" xfId="0" applyFill="1" applyBorder="1"/>
    <xf numFmtId="0" fontId="0" fillId="3" borderId="29" xfId="0" applyFill="1" applyBorder="1"/>
    <xf numFmtId="0" fontId="0" fillId="5" borderId="27" xfId="0" applyFill="1" applyBorder="1"/>
    <xf numFmtId="0" fontId="0" fillId="5" borderId="28" xfId="0" applyFill="1" applyBorder="1"/>
    <xf numFmtId="0" fontId="0" fillId="5" borderId="29" xfId="0" applyFill="1" applyBorder="1"/>
    <xf numFmtId="0" fontId="3" fillId="3" borderId="22" xfId="0" applyFont="1" applyFill="1" applyBorder="1"/>
    <xf numFmtId="0" fontId="0" fillId="0" borderId="34" xfId="0" applyBorder="1"/>
    <xf numFmtId="0" fontId="0" fillId="0" borderId="35" xfId="0" applyBorder="1" applyAlignment="1">
      <alignment horizontal="center"/>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xf numFmtId="0" fontId="0" fillId="0" borderId="38" xfId="0" applyBorder="1"/>
    <xf numFmtId="0" fontId="0" fillId="0" borderId="38" xfId="0" applyBorder="1" applyAlignment="1">
      <alignment horizontal="left"/>
    </xf>
    <xf numFmtId="9" fontId="0" fillId="0" borderId="0" xfId="0" applyNumberFormat="1"/>
    <xf numFmtId="0" fontId="0" fillId="0" borderId="39" xfId="0" applyBorder="1"/>
    <xf numFmtId="0" fontId="0" fillId="0" borderId="40" xfId="0" applyBorder="1"/>
    <xf numFmtId="9" fontId="0" fillId="0" borderId="40" xfId="1" applyFont="1" applyBorder="1" applyAlignment="1">
      <alignment horizontal="center"/>
    </xf>
    <xf numFmtId="9" fontId="0" fillId="0" borderId="41" xfId="1" applyFont="1" applyBorder="1" applyAlignment="1">
      <alignment horizontal="center"/>
    </xf>
    <xf numFmtId="0" fontId="1" fillId="0" borderId="43" xfId="0" applyFont="1" applyBorder="1"/>
    <xf numFmtId="0" fontId="1" fillId="0" borderId="44" xfId="0" applyFont="1" applyBorder="1"/>
    <xf numFmtId="1" fontId="1" fillId="0" borderId="44" xfId="0" applyNumberFormat="1" applyFont="1" applyBorder="1" applyAlignment="1">
      <alignment horizontal="center"/>
    </xf>
    <xf numFmtId="1" fontId="0" fillId="0" borderId="44" xfId="0" applyNumberFormat="1" applyBorder="1" applyAlignment="1">
      <alignment horizontal="center"/>
    </xf>
    <xf numFmtId="1" fontId="0" fillId="0" borderId="6" xfId="0" applyNumberFormat="1" applyBorder="1" applyAlignment="1">
      <alignment horizontal="center"/>
    </xf>
    <xf numFmtId="0" fontId="0" fillId="0" borderId="0" xfId="0" applyAlignment="1">
      <alignment vertical="top" wrapText="1"/>
    </xf>
    <xf numFmtId="0" fontId="0" fillId="6" borderId="9" xfId="0" applyFill="1" applyBorder="1"/>
    <xf numFmtId="0" fontId="0" fillId="6" borderId="1" xfId="0" applyFill="1" applyBorder="1"/>
    <xf numFmtId="0" fontId="0" fillId="6" borderId="22" xfId="0" applyFill="1" applyBorder="1"/>
    <xf numFmtId="0" fontId="0" fillId="6" borderId="31" xfId="0" applyFill="1" applyBorder="1"/>
    <xf numFmtId="0" fontId="0" fillId="6" borderId="30" xfId="0" applyFill="1" applyBorder="1"/>
    <xf numFmtId="0" fontId="0" fillId="6" borderId="28" xfId="0" applyFill="1" applyBorder="1"/>
    <xf numFmtId="0" fontId="0" fillId="6" borderId="29" xfId="0" applyFill="1" applyBorder="1"/>
    <xf numFmtId="0" fontId="0" fillId="0" borderId="0" xfId="0" applyFill="1"/>
    <xf numFmtId="0" fontId="0" fillId="0" borderId="45" xfId="0" applyFill="1" applyBorder="1" applyAlignment="1">
      <alignment horizontal="center" wrapText="1"/>
    </xf>
    <xf numFmtId="0" fontId="0" fillId="0" borderId="0" xfId="0" applyBorder="1"/>
    <xf numFmtId="0" fontId="0" fillId="0" borderId="46" xfId="0" applyBorder="1"/>
    <xf numFmtId="0" fontId="0" fillId="0" borderId="0" xfId="0" applyAlignment="1">
      <alignment horizontal="left" vertical="top" wrapText="1"/>
    </xf>
    <xf numFmtId="0" fontId="0" fillId="0" borderId="47" xfId="0" applyBorder="1" applyAlignment="1">
      <alignment horizontal="center"/>
    </xf>
    <xf numFmtId="0" fontId="0" fillId="0" borderId="9" xfId="0" applyBorder="1"/>
    <xf numFmtId="1" fontId="0" fillId="0" borderId="9" xfId="0" applyNumberFormat="1" applyBorder="1"/>
    <xf numFmtId="2" fontId="0" fillId="0" borderId="38" xfId="0" applyNumberFormat="1" applyBorder="1" applyAlignment="1">
      <alignment horizontal="center"/>
    </xf>
    <xf numFmtId="0" fontId="0" fillId="4" borderId="4" xfId="0" applyFill="1" applyBorder="1" applyAlignment="1">
      <alignment horizontal="center"/>
    </xf>
    <xf numFmtId="2" fontId="0" fillId="0" borderId="43" xfId="0" applyNumberFormat="1" applyBorder="1" applyAlignment="1">
      <alignment horizontal="center"/>
    </xf>
    <xf numFmtId="1" fontId="0" fillId="4" borderId="6" xfId="0" applyNumberFormat="1" applyFill="1" applyBorder="1" applyAlignment="1">
      <alignment horizontal="center"/>
    </xf>
    <xf numFmtId="1" fontId="0" fillId="0" borderId="0" xfId="0" applyNumberFormat="1" applyBorder="1"/>
    <xf numFmtId="0" fontId="1" fillId="4" borderId="13" xfId="0" applyFont="1" applyFill="1" applyBorder="1" applyAlignment="1">
      <alignment horizontal="center" vertical="center" wrapText="1"/>
    </xf>
    <xf numFmtId="0" fontId="0" fillId="4" borderId="13" xfId="0" applyFill="1" applyBorder="1"/>
    <xf numFmtId="0" fontId="0" fillId="4" borderId="50" xfId="0" applyFill="1" applyBorder="1"/>
    <xf numFmtId="0" fontId="0" fillId="4" borderId="51" xfId="0" applyFill="1" applyBorder="1"/>
    <xf numFmtId="0" fontId="1" fillId="0" borderId="48" xfId="0" applyFont="1" applyFill="1" applyBorder="1"/>
    <xf numFmtId="0" fontId="1" fillId="0" borderId="53" xfId="0" applyFont="1" applyBorder="1" applyAlignment="1">
      <alignment horizontal="center"/>
    </xf>
    <xf numFmtId="0" fontId="1" fillId="0" borderId="48" xfId="0" applyFont="1" applyBorder="1" applyAlignment="1">
      <alignment horizontal="center"/>
    </xf>
    <xf numFmtId="0" fontId="0" fillId="0" borderId="52" xfId="0" applyFill="1" applyBorder="1"/>
    <xf numFmtId="0" fontId="0" fillId="0" borderId="31" xfId="0" applyBorder="1" applyAlignment="1">
      <alignment horizontal="center"/>
    </xf>
    <xf numFmtId="0" fontId="0" fillId="0" borderId="52" xfId="0" quotePrefix="1" applyBorder="1" applyAlignment="1">
      <alignment horizontal="center"/>
    </xf>
    <xf numFmtId="1" fontId="0" fillId="0" borderId="52" xfId="0" applyNumberFormat="1" applyBorder="1" applyAlignment="1">
      <alignment horizontal="center"/>
    </xf>
    <xf numFmtId="0" fontId="1" fillId="0" borderId="54" xfId="0" applyFont="1" applyBorder="1" applyAlignment="1">
      <alignment horizontal="center"/>
    </xf>
    <xf numFmtId="0" fontId="0" fillId="0" borderId="20" xfId="0" applyBorder="1"/>
    <xf numFmtId="0" fontId="0" fillId="0" borderId="20" xfId="0" applyBorder="1" applyAlignment="1">
      <alignment horizontal="center" wrapText="1"/>
    </xf>
    <xf numFmtId="16" fontId="0" fillId="0" borderId="20" xfId="0" applyNumberFormat="1" applyBorder="1" applyAlignment="1">
      <alignment horizontal="center" wrapText="1"/>
    </xf>
    <xf numFmtId="0" fontId="0" fillId="0" borderId="63" xfId="0" applyBorder="1" applyAlignment="1">
      <alignment horizontal="center"/>
    </xf>
    <xf numFmtId="0" fontId="0" fillId="0" borderId="37" xfId="0" applyBorder="1" applyAlignment="1">
      <alignment horizontal="center" wrapText="1"/>
    </xf>
    <xf numFmtId="0" fontId="0" fillId="4" borderId="5" xfId="0" applyFill="1" applyBorder="1" applyAlignment="1">
      <alignment horizontal="center" wrapText="1"/>
    </xf>
    <xf numFmtId="0" fontId="0" fillId="0" borderId="8" xfId="0" applyBorder="1"/>
    <xf numFmtId="0" fontId="0" fillId="0" borderId="0" xfId="0" applyAlignment="1">
      <alignment wrapText="1"/>
    </xf>
    <xf numFmtId="0" fontId="0" fillId="0" borderId="19" xfId="0" applyBorder="1" applyAlignment="1">
      <alignment horizontal="center" wrapText="1"/>
    </xf>
    <xf numFmtId="0" fontId="0" fillId="0" borderId="0" xfId="0" applyBorder="1" applyAlignment="1">
      <alignment horizontal="left"/>
    </xf>
    <xf numFmtId="0" fontId="0" fillId="0" borderId="11" xfId="0" applyBorder="1" applyAlignment="1">
      <alignment horizontal="left" wrapText="1"/>
    </xf>
    <xf numFmtId="0" fontId="0" fillId="0" borderId="7" xfId="0" applyBorder="1" applyAlignment="1">
      <alignment horizontal="center" wrapText="1"/>
    </xf>
    <xf numFmtId="0" fontId="0" fillId="0" borderId="11" xfId="0" applyBorder="1" applyAlignment="1">
      <alignment horizontal="center" wrapText="1"/>
    </xf>
    <xf numFmtId="0" fontId="0" fillId="0" borderId="11" xfId="0" applyBorder="1" applyAlignment="1">
      <alignment wrapText="1"/>
    </xf>
    <xf numFmtId="0" fontId="0" fillId="0" borderId="15" xfId="0" applyBorder="1" applyAlignment="1">
      <alignment wrapText="1"/>
    </xf>
    <xf numFmtId="0" fontId="0" fillId="0" borderId="0" xfId="0" applyBorder="1" applyAlignment="1">
      <alignment wrapText="1"/>
    </xf>
    <xf numFmtId="1" fontId="0" fillId="0" borderId="0" xfId="0" applyNumberFormat="1" applyBorder="1" applyAlignment="1">
      <alignment wrapText="1"/>
    </xf>
    <xf numFmtId="0" fontId="0" fillId="0" borderId="0" xfId="0" applyFill="1" applyBorder="1" applyAlignment="1">
      <alignment wrapText="1"/>
    </xf>
    <xf numFmtId="0" fontId="0" fillId="0" borderId="0" xfId="0" applyFill="1" applyBorder="1" applyAlignment="1">
      <alignment horizontal="left" wrapText="1"/>
    </xf>
    <xf numFmtId="0" fontId="2" fillId="0" borderId="62" xfId="0" applyFont="1" applyBorder="1" applyAlignment="1">
      <alignment horizontal="center" wrapText="1"/>
    </xf>
    <xf numFmtId="0" fontId="2" fillId="0" borderId="62" xfId="0" applyFont="1" applyBorder="1" applyAlignment="1">
      <alignment horizontal="center"/>
    </xf>
    <xf numFmtId="0" fontId="0" fillId="0" borderId="0" xfId="0" applyAlignment="1">
      <alignment wrapText="1"/>
    </xf>
    <xf numFmtId="0" fontId="0" fillId="0" borderId="0" xfId="0" applyAlignment="1">
      <alignment horizontal="center" wrapText="1"/>
    </xf>
    <xf numFmtId="0" fontId="1" fillId="4" borderId="49" xfId="0" applyFont="1" applyFill="1" applyBorder="1" applyAlignment="1">
      <alignment horizontal="center" wrapText="1"/>
    </xf>
    <xf numFmtId="0" fontId="9" fillId="0" borderId="0" xfId="0" applyFont="1" applyAlignment="1">
      <alignment horizontal="left"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 fillId="0" borderId="55" xfId="0" applyFont="1" applyBorder="1" applyAlignment="1">
      <alignment horizontal="center" vertical="center" wrapText="1"/>
    </xf>
    <xf numFmtId="0" fontId="0" fillId="0" borderId="21" xfId="0" applyBorder="1" applyAlignment="1">
      <alignment horizontal="center" vertical="center" wrapText="1"/>
    </xf>
    <xf numFmtId="0" fontId="1" fillId="6" borderId="57" xfId="0" applyFont="1" applyFill="1" applyBorder="1" applyAlignment="1">
      <alignment horizontal="center"/>
    </xf>
    <xf numFmtId="0" fontId="1" fillId="6" borderId="20" xfId="0" applyFont="1" applyFill="1" applyBorder="1" applyAlignment="1">
      <alignment horizontal="center"/>
    </xf>
    <xf numFmtId="0" fontId="1" fillId="6" borderId="58" xfId="0" applyFont="1" applyFill="1" applyBorder="1" applyAlignment="1">
      <alignment horizontal="center"/>
    </xf>
    <xf numFmtId="0" fontId="1" fillId="5" borderId="23"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0" xfId="0" applyFont="1" applyFill="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2" xfId="0" applyFont="1" applyFill="1" applyBorder="1" applyAlignment="1">
      <alignment horizontal="center" vertical="center"/>
    </xf>
    <xf numFmtId="0" fontId="1" fillId="6" borderId="9"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3" borderId="55" xfId="0" applyFont="1" applyFill="1" applyBorder="1" applyAlignment="1">
      <alignment horizontal="center" wrapText="1"/>
    </xf>
    <xf numFmtId="0" fontId="1" fillId="3" borderId="25" xfId="0" applyFont="1" applyFill="1" applyBorder="1" applyAlignment="1">
      <alignment horizontal="center" wrapText="1"/>
    </xf>
    <xf numFmtId="0" fontId="1" fillId="3" borderId="56" xfId="0" applyFont="1" applyFill="1" applyBorder="1" applyAlignment="1">
      <alignment horizontal="center" wrapText="1"/>
    </xf>
    <xf numFmtId="0" fontId="2" fillId="0" borderId="47" xfId="0" applyFont="1" applyBorder="1" applyAlignment="1">
      <alignment horizontal="center"/>
    </xf>
    <xf numFmtId="0" fontId="2" fillId="0" borderId="6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center"/>
    </xf>
    <xf numFmtId="0" fontId="1" fillId="0" borderId="3"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6" fillId="0" borderId="42" xfId="0" applyFont="1" applyBorder="1" applyAlignment="1">
      <alignment horizontal="left"/>
    </xf>
    <xf numFmtId="0" fontId="6" fillId="0" borderId="25" xfId="0" applyFont="1" applyBorder="1" applyAlignment="1">
      <alignment horizontal="left"/>
    </xf>
    <xf numFmtId="0" fontId="6" fillId="0" borderId="16" xfId="0" applyFont="1" applyBorder="1" applyAlignment="1">
      <alignment horizontal="left"/>
    </xf>
    <xf numFmtId="0" fontId="2" fillId="0" borderId="0" xfId="0" applyFont="1" applyBorder="1" applyAlignment="1">
      <alignment horizontal="center"/>
    </xf>
    <xf numFmtId="0" fontId="0" fillId="0" borderId="0" xfId="0"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zoomScaleNormal="100" zoomScaleSheetLayoutView="80" workbookViewId="0">
      <selection activeCell="K5" sqref="K5"/>
    </sheetView>
  </sheetViews>
  <sheetFormatPr defaultRowHeight="15" x14ac:dyDescent="0.25"/>
  <cols>
    <col min="1" max="1" width="3.5703125" customWidth="1"/>
    <col min="2" max="2" width="29.85546875" customWidth="1"/>
    <col min="3" max="5" width="17.140625" customWidth="1"/>
    <col min="6" max="6" width="16.140625" customWidth="1"/>
    <col min="7" max="7" width="5" customWidth="1"/>
    <col min="8" max="9" width="8.85546875" style="104"/>
    <col min="10" max="10" width="13.42578125" style="104" bestFit="1" customWidth="1"/>
    <col min="11" max="11" width="23.140625" bestFit="1" customWidth="1"/>
  </cols>
  <sheetData>
    <row r="1" spans="2:10" ht="9.6" customHeight="1" x14ac:dyDescent="0.25"/>
    <row r="2" spans="2:10" x14ac:dyDescent="0.25">
      <c r="B2" t="s">
        <v>109</v>
      </c>
      <c r="C2" s="25" t="s">
        <v>146</v>
      </c>
    </row>
    <row r="3" spans="2:10" ht="44.45" customHeight="1" thickBot="1" x14ac:dyDescent="0.4">
      <c r="B3" s="146" t="s">
        <v>143</v>
      </c>
      <c r="C3" s="147"/>
      <c r="D3" s="147"/>
      <c r="E3" s="147"/>
      <c r="F3" s="147"/>
    </row>
    <row r="4" spans="2:10" ht="46.35" customHeight="1" thickBot="1" x14ac:dyDescent="0.4">
      <c r="B4" s="12"/>
      <c r="C4" s="29" t="s">
        <v>102</v>
      </c>
      <c r="D4" s="17" t="s">
        <v>32</v>
      </c>
      <c r="E4" s="22" t="s">
        <v>122</v>
      </c>
      <c r="F4" s="21" t="s">
        <v>120</v>
      </c>
    </row>
    <row r="5" spans="2:10" s="134" customFormat="1" ht="33" customHeight="1" thickTop="1" thickBot="1" x14ac:dyDescent="0.3">
      <c r="B5" s="137" t="s">
        <v>108</v>
      </c>
      <c r="C5" s="138" t="s">
        <v>145</v>
      </c>
      <c r="D5" s="139" t="s">
        <v>25</v>
      </c>
      <c r="E5" s="140"/>
      <c r="F5" s="141"/>
      <c r="H5" s="142"/>
      <c r="I5" s="142"/>
      <c r="J5" s="143"/>
    </row>
    <row r="6" spans="2:10" ht="15.75" thickTop="1" x14ac:dyDescent="0.25">
      <c r="B6" s="13" t="s">
        <v>5</v>
      </c>
      <c r="C6" s="10">
        <v>0</v>
      </c>
      <c r="D6" s="18" t="s">
        <v>24</v>
      </c>
      <c r="E6" s="23">
        <v>0</v>
      </c>
      <c r="F6" s="26">
        <f>C6+E6</f>
        <v>0</v>
      </c>
    </row>
    <row r="7" spans="2:10" x14ac:dyDescent="0.25">
      <c r="B7" s="14" t="s">
        <v>8</v>
      </c>
      <c r="C7" s="11">
        <v>0</v>
      </c>
      <c r="D7" s="19" t="s">
        <v>24</v>
      </c>
      <c r="E7" s="24">
        <v>2</v>
      </c>
      <c r="F7" s="26">
        <f>C7+E7</f>
        <v>2</v>
      </c>
    </row>
    <row r="8" spans="2:10" x14ac:dyDescent="0.25">
      <c r="B8" s="15" t="s">
        <v>107</v>
      </c>
      <c r="C8" s="11">
        <v>0</v>
      </c>
      <c r="D8" s="20">
        <v>0</v>
      </c>
      <c r="E8" s="24">
        <v>5</v>
      </c>
      <c r="F8" s="27">
        <f>C8+D8+E8</f>
        <v>5</v>
      </c>
    </row>
    <row r="9" spans="2:10" x14ac:dyDescent="0.25">
      <c r="B9" s="15" t="s">
        <v>10</v>
      </c>
      <c r="C9" s="11">
        <v>0</v>
      </c>
      <c r="D9" s="20">
        <v>118</v>
      </c>
      <c r="E9" s="24">
        <v>0</v>
      </c>
      <c r="F9" s="27">
        <v>118</v>
      </c>
    </row>
    <row r="10" spans="2:10" x14ac:dyDescent="0.25">
      <c r="B10" s="15" t="s">
        <v>11</v>
      </c>
      <c r="C10" s="11">
        <v>8</v>
      </c>
      <c r="D10" s="19" t="s">
        <v>24</v>
      </c>
      <c r="E10" s="24">
        <v>0</v>
      </c>
      <c r="F10" s="26">
        <f>C10+E10</f>
        <v>8</v>
      </c>
    </row>
    <row r="11" spans="2:10" x14ac:dyDescent="0.25">
      <c r="B11" s="15" t="s">
        <v>12</v>
      </c>
      <c r="C11" s="11">
        <f>86+52</f>
        <v>138</v>
      </c>
      <c r="D11" s="20">
        <v>92</v>
      </c>
      <c r="E11" s="24">
        <v>4</v>
      </c>
      <c r="F11" s="27">
        <f>C11+D11+E11</f>
        <v>234</v>
      </c>
    </row>
    <row r="12" spans="2:10" x14ac:dyDescent="0.25">
      <c r="B12" s="15" t="s">
        <v>13</v>
      </c>
      <c r="C12" s="11">
        <v>0</v>
      </c>
      <c r="D12" s="19" t="s">
        <v>24</v>
      </c>
      <c r="E12" s="24">
        <v>4</v>
      </c>
      <c r="F12" s="26">
        <f t="shared" ref="F12:F17" si="0">C12+E12</f>
        <v>4</v>
      </c>
    </row>
    <row r="13" spans="2:10" x14ac:dyDescent="0.25">
      <c r="B13" s="15" t="s">
        <v>17</v>
      </c>
      <c r="C13" s="11">
        <v>15</v>
      </c>
      <c r="D13" s="19" t="s">
        <v>24</v>
      </c>
      <c r="E13" s="24">
        <v>0</v>
      </c>
      <c r="F13" s="26">
        <f t="shared" si="0"/>
        <v>15</v>
      </c>
    </row>
    <row r="14" spans="2:10" x14ac:dyDescent="0.25">
      <c r="B14" s="15" t="s">
        <v>14</v>
      </c>
      <c r="C14" s="11">
        <v>6</v>
      </c>
      <c r="D14" s="19" t="s">
        <v>24</v>
      </c>
      <c r="E14" s="24">
        <v>0</v>
      </c>
      <c r="F14" s="26">
        <f t="shared" si="0"/>
        <v>6</v>
      </c>
    </row>
    <row r="15" spans="2:10" x14ac:dyDescent="0.25">
      <c r="B15" s="15" t="s">
        <v>6</v>
      </c>
      <c r="C15" s="11">
        <v>235</v>
      </c>
      <c r="D15" s="19" t="s">
        <v>24</v>
      </c>
      <c r="E15" s="24">
        <v>0</v>
      </c>
      <c r="F15" s="26">
        <f t="shared" si="0"/>
        <v>235</v>
      </c>
    </row>
    <row r="16" spans="2:10" x14ac:dyDescent="0.25">
      <c r="B16" s="15" t="s">
        <v>7</v>
      </c>
      <c r="C16" s="11">
        <v>337</v>
      </c>
      <c r="D16" s="19" t="s">
        <v>24</v>
      </c>
      <c r="E16" s="24">
        <v>2</v>
      </c>
      <c r="F16" s="26">
        <f t="shared" si="0"/>
        <v>339</v>
      </c>
    </row>
    <row r="17" spans="2:10" ht="15.75" thickBot="1" x14ac:dyDescent="0.3">
      <c r="B17" s="122" t="s">
        <v>18</v>
      </c>
      <c r="C17" s="123">
        <v>1</v>
      </c>
      <c r="D17" s="124" t="s">
        <v>24</v>
      </c>
      <c r="E17" s="125">
        <v>0</v>
      </c>
      <c r="F17" s="126">
        <f t="shared" si="0"/>
        <v>1</v>
      </c>
      <c r="J17" s="4"/>
    </row>
    <row r="18" spans="2:10" ht="16.5" thickTop="1" thickBot="1" x14ac:dyDescent="0.3">
      <c r="B18" s="119" t="s">
        <v>26</v>
      </c>
      <c r="C18" s="120">
        <f t="shared" ref="C18:F18" si="1">SUM(C6:C17)</f>
        <v>740</v>
      </c>
      <c r="D18" s="121">
        <f t="shared" si="1"/>
        <v>210</v>
      </c>
      <c r="E18" s="121">
        <f t="shared" si="1"/>
        <v>17</v>
      </c>
      <c r="F18" s="121">
        <f t="shared" si="1"/>
        <v>967</v>
      </c>
      <c r="J18" s="114"/>
    </row>
    <row r="19" spans="2:10" ht="16.7" customHeight="1" x14ac:dyDescent="0.25">
      <c r="B19" s="4" t="s">
        <v>27</v>
      </c>
      <c r="C19" s="5"/>
      <c r="F19" s="28"/>
      <c r="J19" s="114"/>
    </row>
    <row r="20" spans="2:10" ht="30.6" customHeight="1" x14ac:dyDescent="0.25">
      <c r="B20" s="144" t="s">
        <v>110</v>
      </c>
      <c r="C20" s="144"/>
      <c r="D20" s="144"/>
      <c r="E20" s="144"/>
      <c r="F20" s="144"/>
      <c r="J20" s="114"/>
    </row>
    <row r="21" spans="2:10" ht="19.350000000000001" customHeight="1" x14ac:dyDescent="0.25">
      <c r="B21" s="144" t="s">
        <v>140</v>
      </c>
      <c r="C21" s="144"/>
      <c r="D21" s="144"/>
      <c r="E21" s="144"/>
      <c r="F21" s="144"/>
      <c r="J21" s="114"/>
    </row>
    <row r="22" spans="2:10" ht="46.7" customHeight="1" x14ac:dyDescent="0.25">
      <c r="B22" s="144" t="s">
        <v>141</v>
      </c>
      <c r="C22" s="144"/>
      <c r="D22" s="144"/>
      <c r="E22" s="144"/>
      <c r="F22" s="144"/>
      <c r="J22" s="114"/>
    </row>
    <row r="23" spans="2:10" ht="31.7" customHeight="1" x14ac:dyDescent="0.25">
      <c r="B23" s="144" t="s">
        <v>142</v>
      </c>
      <c r="C23" s="144"/>
      <c r="D23" s="144"/>
      <c r="E23" s="144"/>
      <c r="F23" s="144"/>
      <c r="J23" s="114"/>
    </row>
    <row r="24" spans="2:10" ht="46.35" customHeight="1" x14ac:dyDescent="0.25">
      <c r="B24" s="145" t="s">
        <v>121</v>
      </c>
      <c r="C24" s="145"/>
      <c r="D24" s="145"/>
      <c r="E24" s="145"/>
      <c r="F24" s="145"/>
      <c r="J24" s="114"/>
    </row>
    <row r="25" spans="2:10" ht="31.7" customHeight="1" x14ac:dyDescent="0.25">
      <c r="B25" s="148" t="s">
        <v>106</v>
      </c>
      <c r="C25" s="148"/>
      <c r="D25" s="148"/>
      <c r="E25" s="148"/>
      <c r="F25" s="148"/>
      <c r="J25" s="114"/>
    </row>
    <row r="26" spans="2:10" ht="18.600000000000001" customHeight="1" x14ac:dyDescent="0.25">
      <c r="B26" s="144" t="s">
        <v>103</v>
      </c>
      <c r="C26" s="144"/>
      <c r="D26" s="144"/>
      <c r="E26" s="144"/>
      <c r="F26" s="144"/>
      <c r="J26" s="114"/>
    </row>
    <row r="27" spans="2:10" ht="31.35" customHeight="1" x14ac:dyDescent="0.25">
      <c r="B27" s="144" t="s">
        <v>104</v>
      </c>
      <c r="C27" s="144"/>
      <c r="D27" s="144"/>
      <c r="E27" s="144"/>
      <c r="F27" s="144"/>
      <c r="J27" s="114"/>
    </row>
    <row r="28" spans="2:10" ht="18.600000000000001" customHeight="1" x14ac:dyDescent="0.25">
      <c r="B28" s="144" t="s">
        <v>105</v>
      </c>
      <c r="C28" s="144"/>
      <c r="D28" s="144"/>
      <c r="E28" s="144"/>
      <c r="F28" s="144"/>
      <c r="J28" s="114"/>
    </row>
    <row r="29" spans="2:10" ht="18.600000000000001" customHeight="1" x14ac:dyDescent="0.25">
      <c r="C29" s="5"/>
      <c r="F29" s="104"/>
      <c r="J29" s="114"/>
    </row>
  </sheetData>
  <mergeCells count="10">
    <mergeCell ref="B28:F28"/>
    <mergeCell ref="B21:F21"/>
    <mergeCell ref="B24:F24"/>
    <mergeCell ref="B3:F3"/>
    <mergeCell ref="B20:F20"/>
    <mergeCell ref="B22:F22"/>
    <mergeCell ref="B23:F23"/>
    <mergeCell ref="B25:F25"/>
    <mergeCell ref="B26:F26"/>
    <mergeCell ref="B27:F27"/>
  </mergeCells>
  <pageMargins left="0.7" right="0.7" top="0.75" bottom="0.75" header="0.3" footer="0.3"/>
  <pageSetup scale="85" orientation="portrait" horizontalDpi="1200" verticalDpi="1200"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selection activeCell="A34" sqref="A34"/>
    </sheetView>
  </sheetViews>
  <sheetFormatPr defaultRowHeight="15" x14ac:dyDescent="0.25"/>
  <cols>
    <col min="1" max="1" width="27.42578125" customWidth="1"/>
    <col min="2" max="3" width="13.5703125" customWidth="1"/>
    <col min="4" max="4" width="3" customWidth="1"/>
    <col min="7" max="7" width="10.42578125" customWidth="1"/>
    <col min="8" max="8" width="8.42578125" customWidth="1"/>
    <col min="10" max="10" width="3.42578125" customWidth="1"/>
    <col min="11" max="11" width="12.140625" customWidth="1"/>
    <col min="12" max="12" width="12.85546875" customWidth="1"/>
    <col min="13" max="13" width="13.42578125" customWidth="1"/>
    <col min="14" max="15" width="10.140625" customWidth="1"/>
    <col min="16" max="16" width="6.42578125" customWidth="1"/>
  </cols>
  <sheetData>
    <row r="1" spans="1:9" ht="23.25" x14ac:dyDescent="0.35">
      <c r="A1" s="1" t="s">
        <v>129</v>
      </c>
    </row>
    <row r="2" spans="1:9" x14ac:dyDescent="0.25">
      <c r="A2" s="25" t="s">
        <v>40</v>
      </c>
    </row>
    <row r="3" spans="1:9" x14ac:dyDescent="0.25">
      <c r="A3" s="149" t="s">
        <v>41</v>
      </c>
      <c r="B3" t="s">
        <v>42</v>
      </c>
    </row>
    <row r="4" spans="1:9" x14ac:dyDescent="0.25">
      <c r="A4" s="149"/>
      <c r="B4" s="38" t="s">
        <v>43</v>
      </c>
      <c r="C4" s="38" t="s">
        <v>44</v>
      </c>
      <c r="E4" s="2" t="s">
        <v>30</v>
      </c>
      <c r="F4" s="39" t="s">
        <v>45</v>
      </c>
      <c r="H4" t="s">
        <v>46</v>
      </c>
    </row>
    <row r="5" spans="1:9" x14ac:dyDescent="0.25">
      <c r="A5" s="2">
        <v>8</v>
      </c>
      <c r="B5" s="2">
        <v>1354</v>
      </c>
      <c r="C5" s="2">
        <v>482</v>
      </c>
      <c r="D5" s="2"/>
      <c r="E5" s="2">
        <f>B5+C5</f>
        <v>1836</v>
      </c>
      <c r="F5" s="8">
        <f>E5/18</f>
        <v>102</v>
      </c>
      <c r="G5" s="2"/>
      <c r="H5" s="40">
        <f>E5/5847</f>
        <v>0.31400718317085685</v>
      </c>
    </row>
    <row r="7" spans="1:9" ht="15" customHeight="1" x14ac:dyDescent="0.25">
      <c r="A7" s="41" t="s">
        <v>47</v>
      </c>
      <c r="B7" s="42" t="s">
        <v>48</v>
      </c>
      <c r="C7" s="41" t="s">
        <v>49</v>
      </c>
      <c r="D7" s="43"/>
      <c r="E7" t="s">
        <v>50</v>
      </c>
      <c r="F7" s="44" t="s">
        <v>37</v>
      </c>
      <c r="G7" s="45">
        <f>E17/E5</f>
        <v>0.59531590413943358</v>
      </c>
    </row>
    <row r="8" spans="1:9" x14ac:dyDescent="0.25">
      <c r="A8" s="41" t="s">
        <v>117</v>
      </c>
      <c r="B8" s="46">
        <f>F5*G8</f>
        <v>34.888888888888886</v>
      </c>
      <c r="C8" s="46">
        <f>B8*20</f>
        <v>697.77777777777771</v>
      </c>
      <c r="D8" s="43"/>
      <c r="F8" s="44" t="s">
        <v>29</v>
      </c>
      <c r="G8" s="45">
        <f>E18/E5</f>
        <v>0.34204793028322439</v>
      </c>
    </row>
    <row r="11" spans="1:9" x14ac:dyDescent="0.25">
      <c r="A11" s="47" t="s">
        <v>51</v>
      </c>
      <c r="B11" s="34" t="s">
        <v>43</v>
      </c>
      <c r="C11" s="34" t="s">
        <v>44</v>
      </c>
      <c r="D11" s="47"/>
      <c r="E11" s="34" t="s">
        <v>30</v>
      </c>
      <c r="G11" s="2" t="s">
        <v>52</v>
      </c>
      <c r="H11" t="s">
        <v>53</v>
      </c>
      <c r="I11" t="s">
        <v>54</v>
      </c>
    </row>
    <row r="12" spans="1:9" x14ac:dyDescent="0.25">
      <c r="A12" s="47" t="s">
        <v>30</v>
      </c>
      <c r="B12" s="34">
        <v>1354</v>
      </c>
      <c r="C12" s="34">
        <v>482</v>
      </c>
      <c r="D12" s="47"/>
      <c r="E12" s="34">
        <f t="shared" ref="E12:E14" si="0">B12+C12</f>
        <v>1836</v>
      </c>
      <c r="G12" s="2" t="s">
        <v>47</v>
      </c>
      <c r="H12" s="2">
        <v>2</v>
      </c>
      <c r="I12" s="37">
        <v>1.2004801920768306E-3</v>
      </c>
    </row>
    <row r="13" spans="1:9" x14ac:dyDescent="0.25">
      <c r="A13" s="47" t="s">
        <v>55</v>
      </c>
      <c r="B13" s="34">
        <v>1226</v>
      </c>
      <c r="C13" s="34">
        <v>422</v>
      </c>
      <c r="D13" s="47"/>
      <c r="E13" s="34">
        <f t="shared" si="0"/>
        <v>1648</v>
      </c>
    </row>
    <row r="14" spans="1:9" x14ac:dyDescent="0.25">
      <c r="A14" s="47" t="s">
        <v>56</v>
      </c>
      <c r="B14" s="34">
        <v>128</v>
      </c>
      <c r="C14" s="34">
        <v>60</v>
      </c>
      <c r="D14" s="47"/>
      <c r="E14" s="34">
        <f t="shared" si="0"/>
        <v>188</v>
      </c>
      <c r="G14" s="2" t="s">
        <v>57</v>
      </c>
      <c r="H14" s="2" t="s">
        <v>53</v>
      </c>
      <c r="I14" t="s">
        <v>54</v>
      </c>
    </row>
    <row r="15" spans="1:9" x14ac:dyDescent="0.25">
      <c r="B15" s="2"/>
      <c r="C15" s="2"/>
      <c r="E15" s="2"/>
      <c r="G15" s="2" t="s">
        <v>47</v>
      </c>
      <c r="H15" s="2">
        <v>1</v>
      </c>
      <c r="I15" s="37">
        <v>6.0024009603841532E-4</v>
      </c>
    </row>
    <row r="16" spans="1:9" x14ac:dyDescent="0.25">
      <c r="A16" s="47" t="s">
        <v>58</v>
      </c>
      <c r="B16" s="48" t="s">
        <v>59</v>
      </c>
      <c r="C16" s="34"/>
      <c r="D16" s="47"/>
      <c r="E16" s="34"/>
    </row>
    <row r="17" spans="1:12" x14ac:dyDescent="0.25">
      <c r="A17" s="47" t="s">
        <v>60</v>
      </c>
      <c r="B17" s="34">
        <v>843</v>
      </c>
      <c r="C17" s="34">
        <v>250</v>
      </c>
      <c r="D17" s="47"/>
      <c r="E17" s="34">
        <f>B17+C17</f>
        <v>1093</v>
      </c>
    </row>
    <row r="18" spans="1:12" x14ac:dyDescent="0.25">
      <c r="A18" s="47" t="s">
        <v>123</v>
      </c>
      <c r="B18" s="34">
        <v>498</v>
      </c>
      <c r="C18" s="34">
        <v>130</v>
      </c>
      <c r="D18" s="47"/>
      <c r="E18" s="34">
        <f>B18+C18</f>
        <v>628</v>
      </c>
    </row>
    <row r="19" spans="1:12" x14ac:dyDescent="0.25">
      <c r="A19" s="47" t="s">
        <v>61</v>
      </c>
      <c r="B19" s="34">
        <v>13</v>
      </c>
      <c r="C19" s="34">
        <v>102</v>
      </c>
      <c r="D19" s="47"/>
      <c r="E19" s="34">
        <f>B19+C19</f>
        <v>115</v>
      </c>
    </row>
    <row r="20" spans="1:12" x14ac:dyDescent="0.25">
      <c r="A20" s="47" t="s">
        <v>30</v>
      </c>
      <c r="B20" s="34">
        <f>SUM(B17:B19)</f>
        <v>1354</v>
      </c>
      <c r="C20" s="34">
        <f>SUM(C17:C19)</f>
        <v>482</v>
      </c>
      <c r="D20" s="47"/>
      <c r="E20" s="34">
        <f>B20+C20</f>
        <v>1836</v>
      </c>
    </row>
    <row r="21" spans="1:12" x14ac:dyDescent="0.25">
      <c r="B21" s="2"/>
      <c r="C21" s="2"/>
      <c r="E21" s="2"/>
    </row>
    <row r="22" spans="1:12" x14ac:dyDescent="0.25">
      <c r="A22" t="s">
        <v>62</v>
      </c>
      <c r="B22" s="2"/>
      <c r="C22" s="2"/>
      <c r="E22" s="2"/>
    </row>
    <row r="23" spans="1:12" x14ac:dyDescent="0.25">
      <c r="A23" t="s">
        <v>63</v>
      </c>
      <c r="B23" s="2">
        <f>B18</f>
        <v>498</v>
      </c>
      <c r="C23" s="2">
        <f>C18</f>
        <v>130</v>
      </c>
      <c r="E23" s="2">
        <f t="shared" ref="E23" si="1">B23+C23</f>
        <v>628</v>
      </c>
    </row>
    <row r="24" spans="1:12" x14ac:dyDescent="0.25">
      <c r="B24" s="2"/>
      <c r="C24" s="2"/>
      <c r="E24" s="2"/>
    </row>
    <row r="25" spans="1:12" x14ac:dyDescent="0.25">
      <c r="A25" t="s">
        <v>64</v>
      </c>
      <c r="B25" s="37">
        <f>B19/B12</f>
        <v>9.6011816838995571E-3</v>
      </c>
      <c r="C25" s="37">
        <f>C19/C12</f>
        <v>0.21161825726141079</v>
      </c>
      <c r="E25" s="37">
        <f>E19/E12</f>
        <v>6.2636165577342043E-2</v>
      </c>
    </row>
    <row r="27" spans="1:12" x14ac:dyDescent="0.25">
      <c r="A27" t="s">
        <v>65</v>
      </c>
    </row>
    <row r="29" spans="1:12" ht="23.25" x14ac:dyDescent="0.35">
      <c r="A29" s="1" t="s">
        <v>0</v>
      </c>
    </row>
    <row r="30" spans="1:12" x14ac:dyDescent="0.25">
      <c r="A30" t="s">
        <v>66</v>
      </c>
      <c r="B30" t="s">
        <v>67</v>
      </c>
    </row>
    <row r="31" spans="1:12" x14ac:dyDescent="0.25">
      <c r="K31" s="56" t="s">
        <v>75</v>
      </c>
      <c r="L31" s="56"/>
    </row>
    <row r="32" spans="1:12" x14ac:dyDescent="0.25">
      <c r="A32" t="s">
        <v>33</v>
      </c>
      <c r="B32" s="2">
        <f>E5</f>
        <v>1836</v>
      </c>
      <c r="K32" s="50" t="s">
        <v>68</v>
      </c>
      <c r="L32" s="51">
        <f>B32/18</f>
        <v>102</v>
      </c>
    </row>
    <row r="33" spans="1:17" x14ac:dyDescent="0.25">
      <c r="E33" t="s">
        <v>34</v>
      </c>
      <c r="P33" s="102"/>
    </row>
    <row r="34" spans="1:17" ht="60.75" thickBot="1" x14ac:dyDescent="0.3">
      <c r="A34" s="135" t="s">
        <v>153</v>
      </c>
      <c r="B34" s="135" t="s">
        <v>35</v>
      </c>
      <c r="C34" s="31" t="s">
        <v>36</v>
      </c>
      <c r="E34" s="30" t="s">
        <v>125</v>
      </c>
      <c r="F34" s="30" t="s">
        <v>124</v>
      </c>
      <c r="G34" s="30" t="s">
        <v>31</v>
      </c>
      <c r="H34" s="30" t="s">
        <v>127</v>
      </c>
      <c r="I34" s="30" t="s">
        <v>126</v>
      </c>
      <c r="K34" s="52" t="s">
        <v>119</v>
      </c>
      <c r="L34" s="52" t="s">
        <v>118</v>
      </c>
      <c r="M34" s="52" t="s">
        <v>69</v>
      </c>
      <c r="N34" s="52" t="s">
        <v>70</v>
      </c>
      <c r="O34" s="52" t="s">
        <v>112</v>
      </c>
      <c r="P34" s="103"/>
      <c r="Q34" s="104"/>
    </row>
    <row r="35" spans="1:17" ht="30" customHeight="1" thickTop="1" x14ac:dyDescent="0.25">
      <c r="A35" s="128" t="s">
        <v>150</v>
      </c>
      <c r="B35" s="32">
        <f>356+4</f>
        <v>360</v>
      </c>
      <c r="C35" s="33">
        <f>B35/E$5</f>
        <v>0.19607843137254902</v>
      </c>
      <c r="E35" s="32">
        <f>269+2</f>
        <v>271</v>
      </c>
      <c r="F35" s="32">
        <f>72+1</f>
        <v>73</v>
      </c>
      <c r="G35" s="32">
        <f>15+1</f>
        <v>16</v>
      </c>
      <c r="H35" s="33">
        <f>E35/B35</f>
        <v>0.75277777777777777</v>
      </c>
      <c r="I35" s="33">
        <f>F35/B35</f>
        <v>0.20277777777777778</v>
      </c>
      <c r="K35" s="53">
        <f t="shared" ref="K35:K42" si="2">$L$32*C35</f>
        <v>20</v>
      </c>
      <c r="L35" s="53">
        <f>K35*I35</f>
        <v>4.0555555555555554</v>
      </c>
      <c r="M35" s="53">
        <f>L35*1.06</f>
        <v>4.2988888888888885</v>
      </c>
      <c r="N35" s="53">
        <f>M35*20</f>
        <v>85.977777777777774</v>
      </c>
      <c r="O35" s="54">
        <v>86</v>
      </c>
      <c r="P35" s="102"/>
    </row>
    <row r="36" spans="1:17" ht="30" customHeight="1" x14ac:dyDescent="0.25">
      <c r="A36" s="128" t="s">
        <v>155</v>
      </c>
      <c r="B36" s="32">
        <v>109</v>
      </c>
      <c r="C36" s="33">
        <f t="shared" ref="C36:C42" si="3">B36/E$5</f>
        <v>5.9368191721132897E-2</v>
      </c>
      <c r="E36" s="32">
        <v>96</v>
      </c>
      <c r="F36" s="32">
        <v>7</v>
      </c>
      <c r="G36" s="32">
        <v>6</v>
      </c>
      <c r="H36" s="33">
        <f t="shared" ref="H36:H42" si="4">E36/B36</f>
        <v>0.88073394495412849</v>
      </c>
      <c r="I36" s="33">
        <f t="shared" ref="I36:I42" si="5">F36/B36</f>
        <v>6.4220183486238536E-2</v>
      </c>
      <c r="K36" s="53">
        <f t="shared" si="2"/>
        <v>6.0555555555555554</v>
      </c>
      <c r="L36" s="53">
        <f t="shared" ref="L36:L42" si="6">K36*I36</f>
        <v>0.3888888888888889</v>
      </c>
      <c r="M36" s="53">
        <f t="shared" ref="M36:M42" si="7">L36*1.06</f>
        <v>0.41222222222222227</v>
      </c>
      <c r="N36" s="53">
        <f t="shared" ref="N36:N42" si="8">M36*20</f>
        <v>8.2444444444444454</v>
      </c>
      <c r="O36" s="54">
        <v>8</v>
      </c>
      <c r="P36" s="102"/>
    </row>
    <row r="37" spans="1:17" ht="30" customHeight="1" x14ac:dyDescent="0.25">
      <c r="A37" s="128" t="s">
        <v>154</v>
      </c>
      <c r="B37" s="32">
        <f>154+2</f>
        <v>156</v>
      </c>
      <c r="C37" s="33">
        <f t="shared" si="3"/>
        <v>8.4967320261437912E-2</v>
      </c>
      <c r="E37" s="32">
        <f>104+1</f>
        <v>105</v>
      </c>
      <c r="F37" s="32">
        <f>43+1</f>
        <v>44</v>
      </c>
      <c r="G37" s="32">
        <v>7</v>
      </c>
      <c r="H37" s="33">
        <f t="shared" si="4"/>
        <v>0.67307692307692313</v>
      </c>
      <c r="I37" s="33">
        <f t="shared" si="5"/>
        <v>0.28205128205128205</v>
      </c>
      <c r="K37" s="53">
        <f t="shared" si="2"/>
        <v>8.6666666666666679</v>
      </c>
      <c r="L37" s="53">
        <f t="shared" si="6"/>
        <v>2.4444444444444446</v>
      </c>
      <c r="M37" s="53">
        <f t="shared" si="7"/>
        <v>2.5911111111111116</v>
      </c>
      <c r="N37" s="53">
        <f t="shared" si="8"/>
        <v>51.82222222222223</v>
      </c>
      <c r="O37" s="54">
        <v>52</v>
      </c>
      <c r="P37" s="102"/>
    </row>
    <row r="38" spans="1:17" ht="30" customHeight="1" x14ac:dyDescent="0.25">
      <c r="A38" s="128" t="s">
        <v>151</v>
      </c>
      <c r="B38" s="32">
        <v>5</v>
      </c>
      <c r="C38" s="33">
        <f t="shared" si="3"/>
        <v>2.7233115468409588E-3</v>
      </c>
      <c r="E38" s="32">
        <v>0</v>
      </c>
      <c r="F38" s="32">
        <v>5</v>
      </c>
      <c r="G38" s="32">
        <v>0</v>
      </c>
      <c r="H38" s="33">
        <f t="shared" si="4"/>
        <v>0</v>
      </c>
      <c r="I38" s="33">
        <f t="shared" si="5"/>
        <v>1</v>
      </c>
      <c r="K38" s="53">
        <f t="shared" si="2"/>
        <v>0.27777777777777779</v>
      </c>
      <c r="L38" s="53">
        <f t="shared" si="6"/>
        <v>0.27777777777777779</v>
      </c>
      <c r="M38" s="53">
        <f t="shared" si="7"/>
        <v>0.29444444444444445</v>
      </c>
      <c r="N38" s="53">
        <f t="shared" si="8"/>
        <v>5.8888888888888893</v>
      </c>
      <c r="O38" s="54">
        <v>6</v>
      </c>
      <c r="P38" s="102"/>
    </row>
    <row r="39" spans="1:17" ht="30" customHeight="1" x14ac:dyDescent="0.25">
      <c r="A39" s="128" t="s">
        <v>1</v>
      </c>
      <c r="B39" s="32">
        <f>361+6</f>
        <v>367</v>
      </c>
      <c r="C39" s="33">
        <f t="shared" si="3"/>
        <v>0.19989106753812635</v>
      </c>
      <c r="E39" s="32">
        <f>142+2</f>
        <v>144</v>
      </c>
      <c r="F39" s="32">
        <f>196+3</f>
        <v>199</v>
      </c>
      <c r="G39" s="32">
        <f>23+1</f>
        <v>24</v>
      </c>
      <c r="H39" s="33">
        <f>E39/B39</f>
        <v>0.39237057220708449</v>
      </c>
      <c r="I39" s="33">
        <f t="shared" si="5"/>
        <v>0.54223433242506813</v>
      </c>
      <c r="K39" s="53">
        <f t="shared" si="2"/>
        <v>20.388888888888889</v>
      </c>
      <c r="L39" s="53">
        <f t="shared" si="6"/>
        <v>11.055555555555555</v>
      </c>
      <c r="M39" s="53">
        <f t="shared" si="7"/>
        <v>11.718888888888889</v>
      </c>
      <c r="N39" s="53">
        <f t="shared" si="8"/>
        <v>234.37777777777779</v>
      </c>
      <c r="O39" s="54">
        <v>235</v>
      </c>
      <c r="P39" s="102"/>
    </row>
    <row r="40" spans="1:17" ht="30" customHeight="1" x14ac:dyDescent="0.25">
      <c r="A40" s="128" t="s">
        <v>152</v>
      </c>
      <c r="B40" s="32">
        <v>134</v>
      </c>
      <c r="C40" s="33">
        <f t="shared" si="3"/>
        <v>7.2984749455337686E-2</v>
      </c>
      <c r="E40" s="32">
        <v>113</v>
      </c>
      <c r="F40" s="32">
        <v>13</v>
      </c>
      <c r="G40" s="32">
        <v>8</v>
      </c>
      <c r="H40" s="33">
        <f t="shared" si="4"/>
        <v>0.84328358208955223</v>
      </c>
      <c r="I40" s="33">
        <f t="shared" si="5"/>
        <v>9.7014925373134331E-2</v>
      </c>
      <c r="K40" s="53">
        <f t="shared" si="2"/>
        <v>7.4444444444444438</v>
      </c>
      <c r="L40" s="53">
        <f t="shared" si="6"/>
        <v>0.72222222222222221</v>
      </c>
      <c r="M40" s="53">
        <f t="shared" si="7"/>
        <v>0.76555555555555554</v>
      </c>
      <c r="N40" s="53">
        <f t="shared" si="8"/>
        <v>15.31111111111111</v>
      </c>
      <c r="O40" s="54">
        <v>15</v>
      </c>
      <c r="P40" s="102"/>
    </row>
    <row r="41" spans="1:17" ht="30" customHeight="1" x14ac:dyDescent="0.25">
      <c r="A41" s="128" t="s">
        <v>2</v>
      </c>
      <c r="B41" s="32">
        <v>701</v>
      </c>
      <c r="C41" s="33">
        <f t="shared" si="3"/>
        <v>0.38180827886710239</v>
      </c>
      <c r="E41" s="32">
        <v>361</v>
      </c>
      <c r="F41" s="32">
        <v>286</v>
      </c>
      <c r="G41" s="32">
        <v>54</v>
      </c>
      <c r="H41" s="33">
        <f t="shared" si="4"/>
        <v>0.51497860199714696</v>
      </c>
      <c r="I41" s="33">
        <f t="shared" si="5"/>
        <v>0.40798858773181168</v>
      </c>
      <c r="K41" s="53">
        <f t="shared" si="2"/>
        <v>38.944444444444443</v>
      </c>
      <c r="L41" s="53">
        <f t="shared" si="6"/>
        <v>15.888888888888888</v>
      </c>
      <c r="M41" s="53">
        <f t="shared" si="7"/>
        <v>16.842222222222222</v>
      </c>
      <c r="N41" s="53">
        <f t="shared" si="8"/>
        <v>336.84444444444443</v>
      </c>
      <c r="O41" s="54">
        <v>337</v>
      </c>
      <c r="P41" s="102"/>
    </row>
    <row r="42" spans="1:17" ht="30" customHeight="1" x14ac:dyDescent="0.25">
      <c r="A42" s="128" t="s">
        <v>3</v>
      </c>
      <c r="B42" s="34">
        <v>1</v>
      </c>
      <c r="C42" s="33">
        <f t="shared" si="3"/>
        <v>5.4466230936819177E-4</v>
      </c>
      <c r="E42" s="34">
        <v>0</v>
      </c>
      <c r="F42" s="34">
        <v>1</v>
      </c>
      <c r="G42" s="34">
        <v>0</v>
      </c>
      <c r="H42" s="33">
        <f t="shared" si="4"/>
        <v>0</v>
      </c>
      <c r="I42" s="33">
        <f t="shared" si="5"/>
        <v>1</v>
      </c>
      <c r="K42" s="53">
        <f t="shared" si="2"/>
        <v>5.5555555555555559E-2</v>
      </c>
      <c r="L42" s="53">
        <f t="shared" si="6"/>
        <v>5.5555555555555559E-2</v>
      </c>
      <c r="M42" s="53">
        <f t="shared" si="7"/>
        <v>5.8888888888888893E-2</v>
      </c>
      <c r="N42" s="53">
        <f t="shared" si="8"/>
        <v>1.1777777777777778</v>
      </c>
      <c r="O42" s="54">
        <v>1</v>
      </c>
      <c r="P42" s="102"/>
    </row>
    <row r="43" spans="1:17" ht="30" customHeight="1" x14ac:dyDescent="0.25">
      <c r="A43" s="35" t="s">
        <v>4</v>
      </c>
      <c r="B43" s="35" t="s">
        <v>38</v>
      </c>
      <c r="C43" s="36">
        <f>E43/B32</f>
        <v>1.6339869281045752E-3</v>
      </c>
      <c r="E43" s="35">
        <v>3</v>
      </c>
      <c r="F43" s="35">
        <v>0</v>
      </c>
      <c r="G43" s="35">
        <v>0</v>
      </c>
      <c r="H43" s="36"/>
      <c r="I43" s="36"/>
      <c r="K43" s="5"/>
      <c r="L43" s="5"/>
      <c r="M43" s="5"/>
      <c r="N43" s="5"/>
      <c r="O43" s="5"/>
      <c r="P43" s="102"/>
    </row>
    <row r="44" spans="1:17" x14ac:dyDescent="0.25">
      <c r="A44" t="s">
        <v>30</v>
      </c>
      <c r="B44" s="2">
        <f>SUM(B35:B42)+E43</f>
        <v>1836</v>
      </c>
      <c r="C44" s="37">
        <f>SUM(C35:C42)</f>
        <v>0.99836601307189554</v>
      </c>
      <c r="E44" s="2">
        <f>SUM(E35:E42)+E43</f>
        <v>1093</v>
      </c>
      <c r="F44" s="2">
        <f>SUM(F35:F42)</f>
        <v>628</v>
      </c>
      <c r="G44" s="2">
        <f>SUM(G35:G42)</f>
        <v>115</v>
      </c>
      <c r="H44" t="s">
        <v>30</v>
      </c>
      <c r="I44" s="2">
        <f>E44+F44+G44</f>
        <v>1836</v>
      </c>
      <c r="K44" s="51">
        <f>SUM(K35:K42)</f>
        <v>101.83333333333334</v>
      </c>
      <c r="L44" s="51">
        <f>SUM(L35:L42)</f>
        <v>34.888888888888886</v>
      </c>
      <c r="M44" s="51">
        <f t="shared" ref="M44:O44" si="9">SUM(M35:M42)</f>
        <v>36.982222222222219</v>
      </c>
      <c r="N44" s="51">
        <f t="shared" si="9"/>
        <v>739.6444444444445</v>
      </c>
      <c r="O44" s="55">
        <f t="shared" si="9"/>
        <v>740</v>
      </c>
      <c r="P44" s="102"/>
    </row>
    <row r="45" spans="1:17" x14ac:dyDescent="0.25">
      <c r="A45" s="136" t="s">
        <v>39</v>
      </c>
      <c r="B45" s="104"/>
      <c r="C45" s="104"/>
      <c r="D45" s="104"/>
      <c r="E45" s="104"/>
      <c r="F45" s="104"/>
      <c r="G45" s="104"/>
    </row>
    <row r="46" spans="1:17" x14ac:dyDescent="0.25">
      <c r="A46" s="104"/>
      <c r="B46" s="104"/>
      <c r="C46" s="104"/>
      <c r="D46" s="104"/>
      <c r="E46" s="104"/>
      <c r="F46" s="104">
        <v>628</v>
      </c>
      <c r="G46" s="104">
        <v>115</v>
      </c>
    </row>
    <row r="50" spans="1:1" x14ac:dyDescent="0.25">
      <c r="A50" s="4"/>
    </row>
    <row r="51" spans="1:1" x14ac:dyDescent="0.25">
      <c r="A51" s="4"/>
    </row>
    <row r="52" spans="1:1" x14ac:dyDescent="0.25">
      <c r="A52" s="4"/>
    </row>
  </sheetData>
  <mergeCells count="1">
    <mergeCell ref="A3:A4"/>
  </mergeCells>
  <pageMargins left="0.5" right="0.5" top="0.3" bottom="0.5" header="0.3" footer="0.3"/>
  <pageSetup paperSize="5" orientation="landscape" r:id="rId1"/>
  <headerFooter>
    <oddFooter>&amp;F</oddFooter>
  </headerFooter>
  <rowBreaks count="1" manualBreakCount="1">
    <brk id="2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tabSelected="1" zoomScaleNormal="100" workbookViewId="0">
      <selection activeCell="O4" sqref="O4"/>
    </sheetView>
  </sheetViews>
  <sheetFormatPr defaultRowHeight="15" x14ac:dyDescent="0.25"/>
  <cols>
    <col min="1" max="1" width="4.85546875" customWidth="1"/>
    <col min="2" max="2" width="44.5703125" customWidth="1"/>
    <col min="4" max="4" width="10.42578125" customWidth="1"/>
    <col min="10" max="10" width="9.5703125" customWidth="1"/>
    <col min="12" max="12" width="17.85546875" customWidth="1"/>
    <col min="13" max="13" width="5.5703125" customWidth="1"/>
  </cols>
  <sheetData>
    <row r="1" spans="2:12" ht="26.45" customHeight="1" thickBot="1" x14ac:dyDescent="0.3">
      <c r="B1" s="152" t="s">
        <v>130</v>
      </c>
      <c r="C1" s="153"/>
      <c r="D1" s="153"/>
      <c r="E1" s="153"/>
      <c r="F1" s="153"/>
      <c r="G1" s="153"/>
      <c r="H1" s="153"/>
      <c r="I1" s="153"/>
      <c r="J1" s="153"/>
      <c r="K1" s="153"/>
      <c r="L1" s="154"/>
    </row>
    <row r="2" spans="2:12" ht="35.450000000000003" customHeight="1" x14ac:dyDescent="0.25">
      <c r="B2" s="155" t="s">
        <v>156</v>
      </c>
      <c r="C2" s="170" t="s">
        <v>71</v>
      </c>
      <c r="D2" s="171"/>
      <c r="E2" s="172"/>
      <c r="F2" s="157" t="s">
        <v>72</v>
      </c>
      <c r="G2" s="158"/>
      <c r="H2" s="159"/>
      <c r="I2" s="160" t="s">
        <v>158</v>
      </c>
      <c r="J2" s="161"/>
      <c r="K2" s="162"/>
      <c r="L2" s="150" t="s">
        <v>74</v>
      </c>
    </row>
    <row r="3" spans="2:12" ht="60" customHeight="1" x14ac:dyDescent="0.25">
      <c r="B3" s="156"/>
      <c r="C3" s="164" t="s">
        <v>157</v>
      </c>
      <c r="D3" s="165"/>
      <c r="E3" s="166"/>
      <c r="F3" s="167" t="str">
        <f>C4</f>
        <v>Total</v>
      </c>
      <c r="G3" s="168" t="str">
        <f>D4</f>
        <v>Water Service Areas</v>
      </c>
      <c r="H3" s="169" t="str">
        <f>E4</f>
        <v>P-E Well Areas</v>
      </c>
      <c r="I3" s="160"/>
      <c r="J3" s="163"/>
      <c r="K3" s="162"/>
      <c r="L3" s="150"/>
    </row>
    <row r="4" spans="2:12" ht="65.45" customHeight="1" x14ac:dyDescent="0.25">
      <c r="B4" s="156"/>
      <c r="C4" s="57" t="s">
        <v>21</v>
      </c>
      <c r="D4" s="58" t="s">
        <v>22</v>
      </c>
      <c r="E4" s="59" t="s">
        <v>23</v>
      </c>
      <c r="F4" s="167"/>
      <c r="G4" s="168"/>
      <c r="H4" s="169"/>
      <c r="I4" s="60" t="s">
        <v>21</v>
      </c>
      <c r="J4" s="61" t="s">
        <v>22</v>
      </c>
      <c r="K4" s="62" t="s">
        <v>23</v>
      </c>
      <c r="L4" s="115" t="s">
        <v>73</v>
      </c>
    </row>
    <row r="5" spans="2:12" x14ac:dyDescent="0.25">
      <c r="B5" s="63" t="s">
        <v>147</v>
      </c>
      <c r="C5" s="6">
        <v>0</v>
      </c>
      <c r="D5" s="7">
        <v>0</v>
      </c>
      <c r="E5" s="76">
        <v>0</v>
      </c>
      <c r="F5" s="95">
        <f t="shared" ref="F5:F7" si="0">G5+H5</f>
        <v>7</v>
      </c>
      <c r="G5" s="96">
        <v>5</v>
      </c>
      <c r="H5" s="97">
        <v>2</v>
      </c>
      <c r="I5" s="65">
        <f t="shared" ref="I5:K8" si="1">F5-C5</f>
        <v>7</v>
      </c>
      <c r="J5" s="66">
        <f t="shared" si="1"/>
        <v>5</v>
      </c>
      <c r="K5" s="67">
        <f t="shared" si="1"/>
        <v>2</v>
      </c>
      <c r="L5" s="116">
        <v>0</v>
      </c>
    </row>
    <row r="6" spans="2:12" x14ac:dyDescent="0.25">
      <c r="B6" s="63" t="s">
        <v>148</v>
      </c>
      <c r="C6" s="6">
        <v>279</v>
      </c>
      <c r="D6" s="7">
        <v>102</v>
      </c>
      <c r="E6" s="64">
        <v>177</v>
      </c>
      <c r="F6" s="95">
        <f t="shared" si="0"/>
        <v>393</v>
      </c>
      <c r="G6" s="96">
        <v>275</v>
      </c>
      <c r="H6" s="97">
        <v>118</v>
      </c>
      <c r="I6" s="65">
        <f t="shared" si="1"/>
        <v>114</v>
      </c>
      <c r="J6" s="66">
        <f t="shared" si="1"/>
        <v>173</v>
      </c>
      <c r="K6" s="68">
        <f t="shared" si="1"/>
        <v>-59</v>
      </c>
      <c r="L6" s="116">
        <f>E6-(-K6)</f>
        <v>118</v>
      </c>
    </row>
    <row r="7" spans="2:12" ht="15.75" thickBot="1" x14ac:dyDescent="0.3">
      <c r="B7" s="63" t="s">
        <v>149</v>
      </c>
      <c r="C7" s="6">
        <v>161</v>
      </c>
      <c r="D7" s="7">
        <v>128</v>
      </c>
      <c r="E7" s="64">
        <v>33</v>
      </c>
      <c r="F7" s="98">
        <f t="shared" si="0"/>
        <v>253</v>
      </c>
      <c r="G7" s="96">
        <v>145</v>
      </c>
      <c r="H7" s="97">
        <v>108</v>
      </c>
      <c r="I7" s="65">
        <f t="shared" si="1"/>
        <v>92</v>
      </c>
      <c r="J7" s="66">
        <f t="shared" si="1"/>
        <v>17</v>
      </c>
      <c r="K7" s="67">
        <f t="shared" si="1"/>
        <v>75</v>
      </c>
      <c r="L7" s="117">
        <f>E7+(-K6)</f>
        <v>92</v>
      </c>
    </row>
    <row r="8" spans="2:12" ht="16.5" thickTop="1" thickBot="1" x14ac:dyDescent="0.3">
      <c r="B8" s="69" t="s">
        <v>20</v>
      </c>
      <c r="C8" s="70">
        <f>SUM(C5:C7)</f>
        <v>440</v>
      </c>
      <c r="D8" s="71">
        <f>SUM(D5:D7)</f>
        <v>230</v>
      </c>
      <c r="E8" s="72">
        <f t="shared" ref="E8" si="2">SUM(E5:E7)</f>
        <v>210</v>
      </c>
      <c r="F8" s="99">
        <f>SUM(F5:F7)</f>
        <v>653</v>
      </c>
      <c r="G8" s="100">
        <f>SUM(G5:G7)</f>
        <v>425</v>
      </c>
      <c r="H8" s="101">
        <f>SUM(H5:H7)</f>
        <v>228</v>
      </c>
      <c r="I8" s="73">
        <f t="shared" si="1"/>
        <v>213</v>
      </c>
      <c r="J8" s="74">
        <f t="shared" si="1"/>
        <v>195</v>
      </c>
      <c r="K8" s="75">
        <f t="shared" si="1"/>
        <v>18</v>
      </c>
      <c r="L8" s="118">
        <f>SUM(L5:L7)</f>
        <v>210</v>
      </c>
    </row>
    <row r="9" spans="2:12" ht="15.75" thickTop="1" x14ac:dyDescent="0.25"/>
    <row r="10" spans="2:12" x14ac:dyDescent="0.25">
      <c r="B10" t="s">
        <v>27</v>
      </c>
    </row>
    <row r="11" spans="2:12" x14ac:dyDescent="0.25">
      <c r="B11" t="s">
        <v>79</v>
      </c>
    </row>
    <row r="12" spans="2:12" ht="32.450000000000003" customHeight="1" x14ac:dyDescent="0.25">
      <c r="B12" s="151" t="s">
        <v>111</v>
      </c>
      <c r="C12" s="151"/>
      <c r="D12" s="151"/>
      <c r="E12" s="151"/>
      <c r="F12" s="151"/>
      <c r="G12" s="151"/>
      <c r="H12" s="151"/>
      <c r="I12" s="151"/>
      <c r="J12" s="151"/>
      <c r="K12" s="151"/>
      <c r="L12" s="151"/>
    </row>
    <row r="13" spans="2:12" x14ac:dyDescent="0.25">
      <c r="B13" s="49"/>
    </row>
    <row r="14" spans="2:12" x14ac:dyDescent="0.25">
      <c r="B14" t="s">
        <v>76</v>
      </c>
    </row>
    <row r="15" spans="2:12" x14ac:dyDescent="0.25">
      <c r="B15" t="s">
        <v>77</v>
      </c>
    </row>
    <row r="16" spans="2:12" x14ac:dyDescent="0.25">
      <c r="B16" t="s">
        <v>78</v>
      </c>
      <c r="L16" s="25" t="s">
        <v>144</v>
      </c>
    </row>
  </sheetData>
  <mergeCells count="11">
    <mergeCell ref="L2:L3"/>
    <mergeCell ref="B12:L12"/>
    <mergeCell ref="B1:L1"/>
    <mergeCell ref="B2:B4"/>
    <mergeCell ref="F2:H2"/>
    <mergeCell ref="I2:K3"/>
    <mergeCell ref="C3:E3"/>
    <mergeCell ref="F3:F4"/>
    <mergeCell ref="G3:G4"/>
    <mergeCell ref="H3:H4"/>
    <mergeCell ref="C2:E2"/>
  </mergeCells>
  <pageMargins left="0.7" right="0.7" top="0.75" bottom="0.75" header="0.3" footer="0.3"/>
  <pageSetup paperSize="5"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5" zoomScaleNormal="100" workbookViewId="0">
      <selection activeCell="I4" sqref="I4"/>
    </sheetView>
  </sheetViews>
  <sheetFormatPr defaultRowHeight="15" x14ac:dyDescent="0.25"/>
  <cols>
    <col min="1" max="1" width="4.85546875" customWidth="1"/>
    <col min="2" max="2" width="24.42578125" customWidth="1"/>
    <col min="3" max="3" width="11.5703125" customWidth="1"/>
    <col min="4" max="4" width="11.42578125" customWidth="1"/>
    <col min="5" max="5" width="12.85546875" customWidth="1"/>
    <col min="6" max="6" width="13" customWidth="1"/>
    <col min="7" max="7" width="16" customWidth="1"/>
    <col min="8" max="8" width="13.5703125" customWidth="1"/>
    <col min="9" max="9" width="14.42578125" customWidth="1"/>
    <col min="10" max="10" width="6.140625" customWidth="1"/>
  </cols>
  <sheetData>
    <row r="1" spans="2:9" ht="23.25" x14ac:dyDescent="0.35">
      <c r="B1" s="176" t="s">
        <v>131</v>
      </c>
      <c r="C1" s="176"/>
      <c r="D1" s="176"/>
      <c r="E1" s="176"/>
      <c r="F1" s="176"/>
      <c r="G1" s="176"/>
      <c r="H1" s="176"/>
      <c r="I1" s="25" t="s">
        <v>144</v>
      </c>
    </row>
    <row r="2" spans="2:9" ht="12.6" customHeight="1" thickBot="1" x14ac:dyDescent="0.4">
      <c r="B2" s="183"/>
      <c r="C2" s="183"/>
      <c r="D2" s="183"/>
      <c r="E2" s="183"/>
      <c r="F2" s="183"/>
      <c r="G2" s="183"/>
      <c r="H2" s="183"/>
    </row>
    <row r="3" spans="2:9" ht="15.75" thickBot="1" x14ac:dyDescent="0.3">
      <c r="B3" s="177" t="s">
        <v>139</v>
      </c>
      <c r="C3" s="178"/>
      <c r="D3" s="178"/>
      <c r="E3" s="178"/>
      <c r="F3" s="178"/>
      <c r="G3" s="178"/>
      <c r="H3" s="179"/>
    </row>
    <row r="4" spans="2:9" ht="105.75" thickBot="1" x14ac:dyDescent="0.3">
      <c r="B4" s="77" t="s">
        <v>80</v>
      </c>
      <c r="C4" s="78" t="s">
        <v>132</v>
      </c>
      <c r="D4" s="79" t="s">
        <v>133</v>
      </c>
      <c r="E4" s="79" t="s">
        <v>134</v>
      </c>
      <c r="F4" s="78" t="s">
        <v>135</v>
      </c>
      <c r="G4" s="79" t="s">
        <v>82</v>
      </c>
      <c r="H4" s="80" t="s">
        <v>81</v>
      </c>
    </row>
    <row r="5" spans="2:9" x14ac:dyDescent="0.25">
      <c r="B5" s="81" t="s">
        <v>83</v>
      </c>
      <c r="C5" s="32">
        <v>129</v>
      </c>
      <c r="D5" s="32">
        <v>66</v>
      </c>
      <c r="E5" s="32">
        <v>7</v>
      </c>
      <c r="F5" s="32">
        <v>40</v>
      </c>
      <c r="G5" s="32">
        <v>14</v>
      </c>
      <c r="H5" s="9">
        <v>5</v>
      </c>
    </row>
    <row r="6" spans="2:9" x14ac:dyDescent="0.25">
      <c r="B6" s="82" t="s">
        <v>84</v>
      </c>
      <c r="C6" s="34">
        <v>76</v>
      </c>
      <c r="D6" s="34">
        <v>48</v>
      </c>
      <c r="E6" s="34">
        <v>2</v>
      </c>
      <c r="F6" s="34">
        <v>11</v>
      </c>
      <c r="G6" s="34">
        <v>28</v>
      </c>
      <c r="H6" s="16">
        <v>7</v>
      </c>
    </row>
    <row r="7" spans="2:9" x14ac:dyDescent="0.25">
      <c r="B7" s="83" t="s">
        <v>26</v>
      </c>
      <c r="C7" s="34">
        <f>C5+C6</f>
        <v>205</v>
      </c>
      <c r="D7" s="34">
        <f t="shared" ref="D7:H7" si="0">D5+D6</f>
        <v>114</v>
      </c>
      <c r="E7" s="34">
        <f t="shared" si="0"/>
        <v>9</v>
      </c>
      <c r="F7" s="34">
        <f t="shared" si="0"/>
        <v>51</v>
      </c>
      <c r="G7" s="34">
        <f>G5+G6</f>
        <v>42</v>
      </c>
      <c r="H7" s="16">
        <f t="shared" si="0"/>
        <v>12</v>
      </c>
    </row>
    <row r="8" spans="2:9" ht="15.75" thickBot="1" x14ac:dyDescent="0.3">
      <c r="B8" s="85" t="s">
        <v>85</v>
      </c>
      <c r="C8" s="86"/>
      <c r="D8" s="87">
        <f>D7/C7</f>
        <v>0.55609756097560981</v>
      </c>
      <c r="E8" s="87">
        <f>E7/D7</f>
        <v>7.8947368421052627E-2</v>
      </c>
      <c r="F8" s="87">
        <f>F7/D7</f>
        <v>0.44736842105263158</v>
      </c>
      <c r="G8" s="87">
        <f>G7/D7</f>
        <v>0.36842105263157893</v>
      </c>
      <c r="H8" s="88">
        <f>H7/D7</f>
        <v>0.10526315789473684</v>
      </c>
      <c r="I8" s="84"/>
    </row>
    <row r="9" spans="2:9" ht="15.75" thickTop="1" x14ac:dyDescent="0.25">
      <c r="B9" s="180" t="s">
        <v>116</v>
      </c>
      <c r="C9" s="181"/>
      <c r="D9" s="181"/>
      <c r="E9" s="181"/>
      <c r="F9" s="181"/>
      <c r="G9" s="181"/>
      <c r="H9" s="182"/>
    </row>
    <row r="10" spans="2:9" ht="15.75" thickBot="1" x14ac:dyDescent="0.3">
      <c r="B10" s="89" t="s">
        <v>47</v>
      </c>
      <c r="C10" s="90"/>
      <c r="D10" s="90"/>
      <c r="E10" s="91">
        <f>E8*C7</f>
        <v>16.184210526315788</v>
      </c>
      <c r="F10" s="92">
        <f>F8*C7</f>
        <v>91.71052631578948</v>
      </c>
      <c r="G10" s="92">
        <f>G8*C7</f>
        <v>75.526315789473685</v>
      </c>
      <c r="H10" s="93">
        <f>H8*C7</f>
        <v>21.578947368421051</v>
      </c>
      <c r="I10" s="3"/>
    </row>
    <row r="11" spans="2:9" x14ac:dyDescent="0.25">
      <c r="E11" s="8"/>
      <c r="F11" s="8"/>
      <c r="G11" s="8"/>
      <c r="H11" s="8"/>
      <c r="I11" s="3"/>
    </row>
    <row r="12" spans="2:9" x14ac:dyDescent="0.25">
      <c r="B12" t="s">
        <v>27</v>
      </c>
    </row>
    <row r="13" spans="2:9" x14ac:dyDescent="0.25">
      <c r="B13" t="s">
        <v>99</v>
      </c>
    </row>
    <row r="14" spans="2:9" x14ac:dyDescent="0.25">
      <c r="B14" t="s">
        <v>100</v>
      </c>
    </row>
    <row r="15" spans="2:9" x14ac:dyDescent="0.25">
      <c r="B15" t="s">
        <v>128</v>
      </c>
    </row>
    <row r="16" spans="2:9" ht="31.7" customHeight="1" x14ac:dyDescent="0.25">
      <c r="B16" s="184" t="s">
        <v>86</v>
      </c>
      <c r="C16" s="184"/>
      <c r="D16" s="184"/>
      <c r="E16" s="184"/>
      <c r="F16" s="184"/>
      <c r="G16" s="184"/>
      <c r="H16" s="184"/>
      <c r="I16" s="94"/>
    </row>
    <row r="17" spans="2:9" ht="10.7" customHeight="1" x14ac:dyDescent="0.25">
      <c r="B17" s="106"/>
      <c r="C17" s="106"/>
      <c r="D17" s="106"/>
      <c r="E17" s="106"/>
      <c r="F17" s="106"/>
      <c r="G17" s="106"/>
      <c r="H17" s="106"/>
      <c r="I17" s="106"/>
    </row>
    <row r="18" spans="2:9" x14ac:dyDescent="0.25">
      <c r="B18" t="s">
        <v>94</v>
      </c>
    </row>
    <row r="19" spans="2:9" x14ac:dyDescent="0.25">
      <c r="B19" t="s">
        <v>137</v>
      </c>
    </row>
    <row r="20" spans="2:9" x14ac:dyDescent="0.25">
      <c r="B20" t="s">
        <v>95</v>
      </c>
    </row>
    <row r="21" spans="2:9" x14ac:dyDescent="0.25">
      <c r="B21" t="s">
        <v>96</v>
      </c>
    </row>
    <row r="22" spans="2:9" x14ac:dyDescent="0.25">
      <c r="B22" t="s">
        <v>97</v>
      </c>
    </row>
    <row r="23" spans="2:9" x14ac:dyDescent="0.25">
      <c r="B23" t="s">
        <v>98</v>
      </c>
    </row>
    <row r="24" spans="2:9" x14ac:dyDescent="0.25">
      <c r="B24" s="94"/>
      <c r="C24" s="94"/>
      <c r="D24" s="94"/>
      <c r="E24" s="94"/>
      <c r="F24" s="94"/>
      <c r="G24" s="94"/>
      <c r="H24" s="94"/>
      <c r="I24" s="94"/>
    </row>
    <row r="25" spans="2:9" ht="23.25" x14ac:dyDescent="0.35">
      <c r="B25" s="173" t="s">
        <v>131</v>
      </c>
      <c r="C25" s="174"/>
      <c r="D25" s="174"/>
      <c r="E25" s="174"/>
      <c r="F25" s="174"/>
      <c r="G25" s="174"/>
      <c r="H25" s="174"/>
      <c r="I25" s="175"/>
    </row>
    <row r="26" spans="2:9" ht="60" x14ac:dyDescent="0.25">
      <c r="B26" s="127" t="s">
        <v>136</v>
      </c>
      <c r="C26" s="128" t="s">
        <v>114</v>
      </c>
      <c r="D26" s="129" t="s">
        <v>115</v>
      </c>
      <c r="E26" s="130" t="s">
        <v>21</v>
      </c>
      <c r="F26" s="131" t="s">
        <v>101</v>
      </c>
      <c r="G26" s="132" t="s">
        <v>113</v>
      </c>
      <c r="H26" s="133" t="s">
        <v>28</v>
      </c>
      <c r="I26" s="127" t="s">
        <v>87</v>
      </c>
    </row>
    <row r="27" spans="2:9" x14ac:dyDescent="0.25">
      <c r="B27" s="47" t="s">
        <v>5</v>
      </c>
      <c r="C27" s="34">
        <v>0</v>
      </c>
      <c r="D27" s="34">
        <v>0</v>
      </c>
      <c r="E27" s="107">
        <f>C27+D27</f>
        <v>0</v>
      </c>
      <c r="F27" s="110">
        <f>E27*1.77</f>
        <v>0</v>
      </c>
      <c r="G27" s="111">
        <v>0</v>
      </c>
      <c r="H27" s="108" t="s">
        <v>15</v>
      </c>
      <c r="I27" s="47"/>
    </row>
    <row r="28" spans="2:9" x14ac:dyDescent="0.25">
      <c r="B28" s="47" t="s">
        <v>8</v>
      </c>
      <c r="C28" s="34">
        <v>1</v>
      </c>
      <c r="D28" s="34">
        <v>0</v>
      </c>
      <c r="E28" s="107">
        <f t="shared" ref="E28:E35" si="1">C28+D28</f>
        <v>1</v>
      </c>
      <c r="F28" s="110">
        <f t="shared" ref="F28:F38" si="2">E28*1.77</f>
        <v>1.77</v>
      </c>
      <c r="G28" s="111">
        <v>2</v>
      </c>
      <c r="H28" s="108" t="s">
        <v>16</v>
      </c>
      <c r="I28" s="47" t="s">
        <v>88</v>
      </c>
    </row>
    <row r="29" spans="2:9" x14ac:dyDescent="0.25">
      <c r="B29" s="47" t="s">
        <v>9</v>
      </c>
      <c r="C29" s="34">
        <v>3</v>
      </c>
      <c r="D29" s="34">
        <v>0</v>
      </c>
      <c r="E29" s="107">
        <f t="shared" si="1"/>
        <v>3</v>
      </c>
      <c r="F29" s="110">
        <f t="shared" si="2"/>
        <v>5.3100000000000005</v>
      </c>
      <c r="G29" s="111">
        <v>5</v>
      </c>
      <c r="H29" s="108" t="s">
        <v>16</v>
      </c>
      <c r="I29" s="47" t="s">
        <v>89</v>
      </c>
    </row>
    <row r="30" spans="2:9" x14ac:dyDescent="0.25">
      <c r="B30" s="47" t="s">
        <v>10</v>
      </c>
      <c r="C30" s="34">
        <v>0</v>
      </c>
      <c r="D30" s="34">
        <v>0</v>
      </c>
      <c r="E30" s="107">
        <f t="shared" si="1"/>
        <v>0</v>
      </c>
      <c r="F30" s="110">
        <f t="shared" si="2"/>
        <v>0</v>
      </c>
      <c r="G30" s="111">
        <v>0</v>
      </c>
      <c r="H30" s="108" t="s">
        <v>16</v>
      </c>
      <c r="I30" s="47"/>
    </row>
    <row r="31" spans="2:9" x14ac:dyDescent="0.25">
      <c r="B31" s="47" t="s">
        <v>11</v>
      </c>
      <c r="C31" s="34">
        <v>0</v>
      </c>
      <c r="D31" s="34">
        <v>0</v>
      </c>
      <c r="E31" s="107">
        <f t="shared" si="1"/>
        <v>0</v>
      </c>
      <c r="F31" s="110">
        <f t="shared" si="2"/>
        <v>0</v>
      </c>
      <c r="G31" s="111">
        <v>0</v>
      </c>
      <c r="H31" s="108" t="s">
        <v>90</v>
      </c>
      <c r="I31" s="47"/>
    </row>
    <row r="32" spans="2:9" x14ac:dyDescent="0.25">
      <c r="B32" s="47" t="s">
        <v>12</v>
      </c>
      <c r="C32" s="34">
        <v>1</v>
      </c>
      <c r="D32" s="34">
        <v>1</v>
      </c>
      <c r="E32" s="107">
        <f t="shared" si="1"/>
        <v>2</v>
      </c>
      <c r="F32" s="110">
        <f t="shared" si="2"/>
        <v>3.54</v>
      </c>
      <c r="G32" s="111">
        <v>4</v>
      </c>
      <c r="H32" s="108" t="s">
        <v>16</v>
      </c>
      <c r="I32" s="47" t="s">
        <v>91</v>
      </c>
    </row>
    <row r="33" spans="1:9" x14ac:dyDescent="0.25">
      <c r="B33" s="47" t="s">
        <v>13</v>
      </c>
      <c r="C33" s="34">
        <v>1</v>
      </c>
      <c r="D33" s="34">
        <v>1</v>
      </c>
      <c r="E33" s="107">
        <f t="shared" si="1"/>
        <v>2</v>
      </c>
      <c r="F33" s="110">
        <f t="shared" si="2"/>
        <v>3.54</v>
      </c>
      <c r="G33" s="111">
        <v>4</v>
      </c>
      <c r="H33" s="108" t="s">
        <v>16</v>
      </c>
      <c r="I33" s="47" t="s">
        <v>92</v>
      </c>
    </row>
    <row r="34" spans="1:9" x14ac:dyDescent="0.25">
      <c r="B34" s="47" t="s">
        <v>19</v>
      </c>
      <c r="C34" s="34">
        <v>0</v>
      </c>
      <c r="D34" s="34">
        <v>0</v>
      </c>
      <c r="E34" s="107">
        <f>C34+D34</f>
        <v>0</v>
      </c>
      <c r="F34" s="110">
        <f t="shared" si="2"/>
        <v>0</v>
      </c>
      <c r="G34" s="111">
        <v>0</v>
      </c>
      <c r="H34" s="108" t="s">
        <v>15</v>
      </c>
      <c r="I34" s="47"/>
    </row>
    <row r="35" spans="1:9" x14ac:dyDescent="0.25">
      <c r="B35" s="47" t="s">
        <v>14</v>
      </c>
      <c r="C35" s="34">
        <v>0</v>
      </c>
      <c r="D35" s="34">
        <v>0</v>
      </c>
      <c r="E35" s="107">
        <f t="shared" si="1"/>
        <v>0</v>
      </c>
      <c r="F35" s="110">
        <f t="shared" si="2"/>
        <v>0</v>
      </c>
      <c r="G35" s="111">
        <v>0</v>
      </c>
      <c r="H35" s="108" t="s">
        <v>15</v>
      </c>
      <c r="I35" s="47"/>
    </row>
    <row r="36" spans="1:9" x14ac:dyDescent="0.25">
      <c r="B36" s="47" t="s">
        <v>6</v>
      </c>
      <c r="C36" s="34">
        <v>0</v>
      </c>
      <c r="D36" s="34">
        <v>0</v>
      </c>
      <c r="E36" s="107">
        <f>C36+D36</f>
        <v>0</v>
      </c>
      <c r="F36" s="110">
        <f t="shared" si="2"/>
        <v>0</v>
      </c>
      <c r="G36" s="111">
        <v>0</v>
      </c>
      <c r="H36" s="108" t="s">
        <v>15</v>
      </c>
      <c r="I36" s="47"/>
    </row>
    <row r="37" spans="1:9" x14ac:dyDescent="0.25">
      <c r="B37" s="47" t="s">
        <v>7</v>
      </c>
      <c r="C37" s="34">
        <v>1</v>
      </c>
      <c r="D37" s="34">
        <v>0</v>
      </c>
      <c r="E37" s="107">
        <f>C37+D37</f>
        <v>1</v>
      </c>
      <c r="F37" s="110">
        <f t="shared" si="2"/>
        <v>1.77</v>
      </c>
      <c r="G37" s="111">
        <v>2</v>
      </c>
      <c r="H37" s="108" t="s">
        <v>15</v>
      </c>
      <c r="I37" s="47" t="s">
        <v>93</v>
      </c>
    </row>
    <row r="38" spans="1:9" x14ac:dyDescent="0.25">
      <c r="B38" s="47" t="s">
        <v>18</v>
      </c>
      <c r="C38" s="34">
        <v>0</v>
      </c>
      <c r="D38" s="34">
        <v>0</v>
      </c>
      <c r="E38" s="107">
        <f>C38+D38</f>
        <v>0</v>
      </c>
      <c r="F38" s="110">
        <f t="shared" si="2"/>
        <v>0</v>
      </c>
      <c r="G38" s="111">
        <v>0</v>
      </c>
      <c r="H38" s="108" t="s">
        <v>15</v>
      </c>
      <c r="I38" s="47"/>
    </row>
    <row r="39" spans="1:9" ht="15.75" thickBot="1" x14ac:dyDescent="0.3">
      <c r="B39" s="47" t="s">
        <v>26</v>
      </c>
      <c r="C39" s="34">
        <f t="shared" ref="C39:D39" si="3">SUM(C27:C38)</f>
        <v>7</v>
      </c>
      <c r="D39" s="34">
        <f t="shared" si="3"/>
        <v>2</v>
      </c>
      <c r="E39" s="107">
        <f>SUM(E27:E38)</f>
        <v>9</v>
      </c>
      <c r="F39" s="112">
        <f>SUM(F27:F38)</f>
        <v>15.93</v>
      </c>
      <c r="G39" s="113">
        <f>SUM(G27:G38)</f>
        <v>17</v>
      </c>
      <c r="H39" s="109"/>
      <c r="I39" s="47"/>
    </row>
    <row r="40" spans="1:9" x14ac:dyDescent="0.25">
      <c r="A40" s="104"/>
      <c r="B40" s="4"/>
      <c r="C40" s="105"/>
    </row>
    <row r="41" spans="1:9" ht="63" customHeight="1" x14ac:dyDescent="0.25">
      <c r="B41" s="145" t="s">
        <v>138</v>
      </c>
      <c r="C41" s="145"/>
      <c r="D41" s="145"/>
      <c r="E41" s="145"/>
      <c r="F41" s="145"/>
      <c r="G41" s="145"/>
      <c r="H41" s="145"/>
      <c r="I41" s="145"/>
    </row>
  </sheetData>
  <mergeCells count="7">
    <mergeCell ref="B41:I41"/>
    <mergeCell ref="B25:I25"/>
    <mergeCell ref="B1:H1"/>
    <mergeCell ref="B3:H3"/>
    <mergeCell ref="B9:H9"/>
    <mergeCell ref="B2:H2"/>
    <mergeCell ref="B16:H16"/>
  </mergeCells>
  <pageMargins left="0.7" right="0.7" top="0.75" bottom="0.75" header="0.3" footer="0.3"/>
  <pageSetup paperSize="5" orientation="landscape" r:id="rId1"/>
  <headerFooter>
    <oddFooter>&amp;F</oddFooter>
  </headerFooter>
  <rowBreaks count="1" manualBreakCount="1">
    <brk id="2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Zview xmlns="81b753b0-5f84-4476-b087-97d9c3e0d4e3">Needs to be posted</EZview>
    <WRIA xmlns="81b753b0-5f84-4476-b087-97d9c3e0d4e3">Multiple</WRIA>
    <Accessibility xmlns="81b753b0-5f84-4476-b087-97d9c3e0d4e3">Needs review</Accessib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7ED565BBD1434694F55D60D1AC51F4" ma:contentTypeVersion="4" ma:contentTypeDescription="Create a new document." ma:contentTypeScope="" ma:versionID="7ef8990a4143c1fb14ff7fc306b482fe">
  <xsd:schema xmlns:xsd="http://www.w3.org/2001/XMLSchema" xmlns:xs="http://www.w3.org/2001/XMLSchema" xmlns:p="http://schemas.microsoft.com/office/2006/metadata/properties" xmlns:ns2="81b753b0-5f84-4476-b087-97d9c3e0d4e3" xmlns:ns3="fa9a4940-7a8b-4399-b0b9-597dee2fdc40" targetNamespace="http://schemas.microsoft.com/office/2006/metadata/properties" ma:root="true" ma:fieldsID="c4f91c7ad463c6fcefe2016f92c5b7d2" ns2:_="" ns3:_="">
    <xsd:import namespace="81b753b0-5f84-4476-b087-97d9c3e0d4e3"/>
    <xsd:import namespace="fa9a4940-7a8b-4399-b0b9-597dee2fdc40"/>
    <xsd:element name="properties">
      <xsd:complexType>
        <xsd:sequence>
          <xsd:element name="documentManagement">
            <xsd:complexType>
              <xsd:all>
                <xsd:element ref="ns2:WRIA"/>
                <xsd:element ref="ns2:Accessibility" minOccurs="0"/>
                <xsd:element ref="ns2:EZview"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753b0-5f84-4476-b087-97d9c3e0d4e3" elementFormDefault="qualified">
    <xsd:import namespace="http://schemas.microsoft.com/office/2006/documentManagement/types"/>
    <xsd:import namespace="http://schemas.microsoft.com/office/infopath/2007/PartnerControls"/>
    <xsd:element name="WRIA" ma:index="8" ma:displayName="WRIA" ma:default="Multiple" ma:description="Committee's WRIA" ma:format="Dropdown" ma:internalName="WRIA">
      <xsd:simpleType>
        <xsd:restriction base="dms:Choice">
          <xsd:enumeration value="7"/>
          <xsd:enumeration value="8"/>
          <xsd:enumeration value="9"/>
          <xsd:enumeration value="10"/>
          <xsd:enumeration value="12"/>
          <xsd:enumeration value="Multiple"/>
          <xsd:enumeration value="13"/>
          <xsd:enumeration value="14"/>
          <xsd:enumeration value="15"/>
        </xsd:restriction>
      </xsd:simpleType>
    </xsd:element>
    <xsd:element name="Accessibility" ma:index="9" nillable="true" ma:displayName="Accessibility" ma:default="Needs review" ma:description="Status of Accessibility check." ma:format="Dropdown" ma:internalName="Accessibility">
      <xsd:simpleType>
        <xsd:restriction base="dms:Choice">
          <xsd:enumeration value="Sent Back to Planner"/>
          <xsd:enumeration value="Needs review"/>
          <xsd:enumeration value="In Progress"/>
          <xsd:enumeration value="Completed"/>
        </xsd:restriction>
      </xsd:simpleType>
    </xsd:element>
    <xsd:element name="EZview" ma:index="10" nillable="true" ma:displayName="EZview" ma:default="Needs to be posted" ma:description="Status of document on EZview." ma:format="Dropdown" ma:internalName="EZview">
      <xsd:simpleType>
        <xsd:restriction base="dms:Choice">
          <xsd:enumeration value="Needs to be posted"/>
          <xsd:enumeration value="Pending review"/>
          <xsd:enumeration value="Posted"/>
          <xsd:enumeration value="Removed"/>
        </xsd:restriction>
      </xsd:simpleType>
    </xsd:element>
  </xsd:schema>
  <xsd:schema xmlns:xsd="http://www.w3.org/2001/XMLSchema" xmlns:xs="http://www.w3.org/2001/XMLSchema" xmlns:dms="http://schemas.microsoft.com/office/2006/documentManagement/types" xmlns:pc="http://schemas.microsoft.com/office/infopath/2007/PartnerControls" targetNamespace="fa9a4940-7a8b-4399-b0b9-597dee2fdc4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70BAAD-886A-47D2-9AD9-E6BF2CCCE0C9}">
  <ds:schemaRefs>
    <ds:schemaRef ds:uri="http://schemas.microsoft.com/sharepoint/v3/contenttype/forms"/>
  </ds:schemaRefs>
</ds:datastoreItem>
</file>

<file path=customXml/itemProps2.xml><?xml version="1.0" encoding="utf-8"?>
<ds:datastoreItem xmlns:ds="http://schemas.openxmlformats.org/officeDocument/2006/customXml" ds:itemID="{9B63D344-9C64-4F17-95A6-C998B7A2BB13}">
  <ds:schemaRefs>
    <ds:schemaRef ds:uri="http://purl.org/dc/elements/1.1/"/>
    <ds:schemaRef ds:uri="http://schemas.microsoft.com/office/2006/metadata/properties"/>
    <ds:schemaRef ds:uri="81b753b0-5f84-4476-b087-97d9c3e0d4e3"/>
    <ds:schemaRef ds:uri="http://purl.org/dc/terms/"/>
    <ds:schemaRef ds:uri="http://schemas.openxmlformats.org/package/2006/metadata/core-properties"/>
    <ds:schemaRef ds:uri="http://schemas.microsoft.com/office/2006/documentManagement/types"/>
    <ds:schemaRef ds:uri="fa9a4940-7a8b-4399-b0b9-597dee2fdc40"/>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DB4A2A5-B257-477F-8FF7-04B9E850E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b753b0-5f84-4476-b087-97d9c3e0d4e3"/>
    <ds:schemaRef ds:uri="fa9a4940-7a8b-4399-b0b9-597dee2fdc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King Co Data</vt:lpstr>
      <vt:lpstr>Snohomish Co Data</vt:lpstr>
      <vt:lpstr>UGA Spot Check</vt:lpstr>
      <vt:lpstr>'King Co Data'!Print_Area</vt:lpstr>
      <vt:lpstr>'Snohomish Co Data'!Print_Area</vt:lpstr>
      <vt:lpstr>Summary!Print_Area</vt:lpstr>
      <vt:lpstr>'UGA Spot Check'!Print_Area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Bridget August</dc:creator>
  <cp:lastModifiedBy>Medcalf, RiAnne (ECY)</cp:lastModifiedBy>
  <cp:lastPrinted>2019-08-13T22:00:03Z</cp:lastPrinted>
  <dcterms:created xsi:type="dcterms:W3CDTF">2019-08-07T16:54:49Z</dcterms:created>
  <dcterms:modified xsi:type="dcterms:W3CDTF">2019-08-20T20:42:00Z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0x010100E87ED565BBD1434694F55D60D1AC51F4</vt:lpwstr>
  </property>
  <property fmtid="{D5CDD505-2E9C-101B-9397-08002B2CF9AE}" pid="3" name="_dlc_DocIdItemGuid">
    <vt:lpwstr>96fecfd9-749c-469c-9e37-cc820eec5fa6</vt:lpwstr>
  </property>
</Properties>
</file>