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http://teams/sites/WR/srs/EzViewDocuments/"/>
    </mc:Choice>
  </mc:AlternateContent>
  <bookViews>
    <workbookView xWindow="22935" yWindow="-105" windowWidth="23265" windowHeight="12585" activeTab="2"/>
  </bookViews>
  <sheets>
    <sheet name="Summary" sheetId="1" r:id="rId1"/>
    <sheet name="King Co Data" sheetId="2" r:id="rId2"/>
    <sheet name="Snohomish Co Data" sheetId="3" r:id="rId3"/>
    <sheet name="UGA Spot Check" sheetId="4" r:id="rId4"/>
  </sheets>
  <definedNames>
    <definedName name="_xlnm.Print_Area" localSheetId="1">'King Co Data'!$A$1:$O$45</definedName>
    <definedName name="_xlnm.Print_Area" localSheetId="2">'Snohomish Co Data'!$A$1:$M$16</definedName>
    <definedName name="_xlnm.Print_Area" localSheetId="0">Summary!$A$1:$G$28</definedName>
    <definedName name="_xlnm.Print_Area" localSheetId="3">'UGA Spot Check'!$A$1:$J$42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8" i="1" l="1"/>
  <c r="F17" i="1"/>
  <c r="F16" i="1"/>
  <c r="F15" i="1"/>
  <c r="F14" i="1"/>
  <c r="F13" i="1"/>
  <c r="F12" i="1"/>
  <c r="F10" i="1"/>
  <c r="F7" i="1"/>
  <c r="F6" i="1"/>
  <c r="G39" i="4"/>
  <c r="C11" i="1"/>
  <c r="F11" i="1" s="1"/>
  <c r="C39" i="4"/>
  <c r="D39" i="4"/>
  <c r="E38" i="4"/>
  <c r="F38" i="4" s="1"/>
  <c r="E37" i="4"/>
  <c r="F37" i="4" s="1"/>
  <c r="E36" i="4"/>
  <c r="F36" i="4" s="1"/>
  <c r="E35" i="4"/>
  <c r="F35" i="4" s="1"/>
  <c r="E34" i="4"/>
  <c r="F34" i="4" s="1"/>
  <c r="E33" i="4"/>
  <c r="F33" i="4" s="1"/>
  <c r="E32" i="4"/>
  <c r="F32" i="4" s="1"/>
  <c r="E31" i="4"/>
  <c r="F31" i="4" s="1"/>
  <c r="E30" i="4"/>
  <c r="F30" i="4" s="1"/>
  <c r="E29" i="4"/>
  <c r="F29" i="4" s="1"/>
  <c r="E28" i="4"/>
  <c r="F28" i="4" s="1"/>
  <c r="E27" i="4"/>
  <c r="F27" i="4" s="1"/>
  <c r="H7" i="4"/>
  <c r="G7" i="4"/>
  <c r="F7" i="4"/>
  <c r="E7" i="4"/>
  <c r="D7" i="4"/>
  <c r="C7" i="4"/>
  <c r="E8" i="4" l="1"/>
  <c r="E10" i="4" s="1"/>
  <c r="G8" i="4"/>
  <c r="G10" i="4" s="1"/>
  <c r="F39" i="4"/>
  <c r="H8" i="4"/>
  <c r="H10" i="4" s="1"/>
  <c r="F18" i="1"/>
  <c r="D8" i="4"/>
  <c r="F8" i="4"/>
  <c r="F10" i="4" s="1"/>
  <c r="E39" i="4"/>
  <c r="H8" i="3" l="1"/>
  <c r="G8" i="3"/>
  <c r="E8" i="3"/>
  <c r="D8" i="3"/>
  <c r="C8" i="3"/>
  <c r="K7" i="3"/>
  <c r="J7" i="3"/>
  <c r="F7" i="3"/>
  <c r="K6" i="3"/>
  <c r="L6" i="3" s="1"/>
  <c r="J6" i="3"/>
  <c r="F6" i="3"/>
  <c r="K5" i="3"/>
  <c r="J5" i="3"/>
  <c r="F5" i="3"/>
  <c r="H3" i="3"/>
  <c r="G3" i="3"/>
  <c r="F3" i="3"/>
  <c r="O44" i="2"/>
  <c r="L7" i="3" l="1"/>
  <c r="L8" i="3" s="1"/>
  <c r="F8" i="3"/>
  <c r="I5" i="3"/>
  <c r="J8" i="3"/>
  <c r="I8" i="3"/>
  <c r="I6" i="3"/>
  <c r="K8" i="3"/>
  <c r="I7" i="3"/>
  <c r="I42" i="2"/>
  <c r="H42" i="2"/>
  <c r="I41" i="2"/>
  <c r="H41" i="2"/>
  <c r="I40" i="2"/>
  <c r="H40" i="2"/>
  <c r="G39" i="2"/>
  <c r="F39" i="2"/>
  <c r="E39" i="2"/>
  <c r="B39" i="2"/>
  <c r="I38" i="2"/>
  <c r="H38" i="2"/>
  <c r="F37" i="2"/>
  <c r="E37" i="2"/>
  <c r="B37" i="2"/>
  <c r="I36" i="2"/>
  <c r="H36" i="2"/>
  <c r="G35" i="2"/>
  <c r="F35" i="2"/>
  <c r="E35" i="2"/>
  <c r="B35" i="2"/>
  <c r="C25" i="2"/>
  <c r="B25" i="2"/>
  <c r="C23" i="2"/>
  <c r="B23" i="2"/>
  <c r="C20" i="2"/>
  <c r="B20" i="2"/>
  <c r="E20" i="2" s="1"/>
  <c r="E19" i="2"/>
  <c r="E25" i="2" s="1"/>
  <c r="E18" i="2"/>
  <c r="E17" i="2"/>
  <c r="G7" i="2" s="1"/>
  <c r="E14" i="2"/>
  <c r="E13" i="2"/>
  <c r="E12" i="2"/>
  <c r="E5" i="2"/>
  <c r="C40" i="2" s="1"/>
  <c r="C41" i="2" l="1"/>
  <c r="G44" i="2"/>
  <c r="C36" i="2"/>
  <c r="E23" i="2"/>
  <c r="H39" i="2"/>
  <c r="C39" i="2"/>
  <c r="G8" i="2"/>
  <c r="B32" i="2"/>
  <c r="C35" i="2"/>
  <c r="H37" i="2"/>
  <c r="F5" i="2"/>
  <c r="H5" i="2"/>
  <c r="E44" i="2"/>
  <c r="B44" i="2"/>
  <c r="C37" i="2"/>
  <c r="F44" i="2"/>
  <c r="H35" i="2"/>
  <c r="I37" i="2"/>
  <c r="I39" i="2"/>
  <c r="C42" i="2"/>
  <c r="I35" i="2"/>
  <c r="C38" i="2"/>
  <c r="I44" i="2" l="1"/>
  <c r="C44" i="2"/>
  <c r="B8" i="2"/>
  <c r="C8" i="2" s="1"/>
  <c r="L32" i="2"/>
  <c r="C43" i="2"/>
  <c r="E18" i="1"/>
  <c r="D18" i="1"/>
  <c r="K40" i="2" l="1"/>
  <c r="L40" i="2" s="1"/>
  <c r="M40" i="2" s="1"/>
  <c r="N40" i="2" s="1"/>
  <c r="K37" i="2"/>
  <c r="L37" i="2" s="1"/>
  <c r="M37" i="2" s="1"/>
  <c r="N37" i="2" s="1"/>
  <c r="K41" i="2"/>
  <c r="L41" i="2" s="1"/>
  <c r="M41" i="2" s="1"/>
  <c r="N41" i="2" s="1"/>
  <c r="K36" i="2"/>
  <c r="L36" i="2" s="1"/>
  <c r="M36" i="2" s="1"/>
  <c r="N36" i="2" s="1"/>
  <c r="K42" i="2"/>
  <c r="L42" i="2" s="1"/>
  <c r="M42" i="2" s="1"/>
  <c r="N42" i="2" s="1"/>
  <c r="K38" i="2"/>
  <c r="L38" i="2" s="1"/>
  <c r="M38" i="2" s="1"/>
  <c r="N38" i="2" s="1"/>
  <c r="K39" i="2"/>
  <c r="L39" i="2" s="1"/>
  <c r="M39" i="2" s="1"/>
  <c r="N39" i="2" s="1"/>
  <c r="K35" i="2"/>
  <c r="C18" i="1"/>
  <c r="K44" i="2" l="1"/>
  <c r="L35" i="2"/>
  <c r="M35" i="2" l="1"/>
  <c r="L44" i="2"/>
  <c r="N35" i="2" l="1"/>
  <c r="N44" i="2" s="1"/>
  <c r="M44" i="2"/>
</calcChain>
</file>

<file path=xl/sharedStrings.xml><?xml version="1.0" encoding="utf-8"?>
<sst xmlns="http://schemas.openxmlformats.org/spreadsheetml/2006/main" count="208" uniqueCount="159">
  <si>
    <t>WRIA 8 - Cedar-Sammamish</t>
  </si>
  <si>
    <t>Issaquah Creek*</t>
  </si>
  <si>
    <t>Lower Cedar River*</t>
  </si>
  <si>
    <t>Upper Cedar River</t>
  </si>
  <si>
    <t>28 basins in the urban area</t>
  </si>
  <si>
    <t>1 - Seattle/Lake Union</t>
  </si>
  <si>
    <t>10 - Issaquah</t>
  </si>
  <si>
    <t>11 - Lower Cedar</t>
  </si>
  <si>
    <t>2 - PS Shorelines</t>
  </si>
  <si>
    <t>3 - Swamp North</t>
  </si>
  <si>
    <t>4 - Little Bear</t>
  </si>
  <si>
    <t>5 - Samm Rvr Valley</t>
  </si>
  <si>
    <t>6  -Bear/Evans</t>
  </si>
  <si>
    <t>7 - Greater Lake Washington</t>
  </si>
  <si>
    <t>9 - Lk Samm Creeks</t>
  </si>
  <si>
    <t>King</t>
  </si>
  <si>
    <t>Sno co/King co</t>
  </si>
  <si>
    <t>8 - May/Coal (Cedar)</t>
  </si>
  <si>
    <t>12 - Upper Cedar</t>
  </si>
  <si>
    <t>8 - May/Coal</t>
  </si>
  <si>
    <t>Total WRIA 8</t>
  </si>
  <si>
    <t>Total</t>
  </si>
  <si>
    <t>Water Service Areas</t>
  </si>
  <si>
    <t>P-E Well Areas</t>
  </si>
  <si>
    <t>--</t>
  </si>
  <si>
    <t>PE Well Areas</t>
  </si>
  <si>
    <t>Totals</t>
  </si>
  <si>
    <t>Notes:</t>
  </si>
  <si>
    <t>County</t>
  </si>
  <si>
    <t>pvt</t>
  </si>
  <si>
    <t>total</t>
  </si>
  <si>
    <t>oth</t>
  </si>
  <si>
    <r>
      <t>Snohomish County (Past Trends)</t>
    </r>
    <r>
      <rPr>
        <b/>
        <vertAlign val="superscript"/>
        <sz val="11"/>
        <color theme="1"/>
        <rFont val="Calibri"/>
        <family val="2"/>
        <scheme val="minor"/>
      </rPr>
      <t>2</t>
    </r>
  </si>
  <si>
    <t>total building permits</t>
  </si>
  <si>
    <t>Water use by basin</t>
  </si>
  <si>
    <t>Number of permits</t>
  </si>
  <si>
    <t>% of growth</t>
  </si>
  <si>
    <t>pub</t>
  </si>
  <si>
    <t>Urban</t>
  </si>
  <si>
    <t>* = a portion of this basin in the urban area</t>
  </si>
  <si>
    <t>Draft 7/18/2019</t>
  </si>
  <si>
    <t>WRIA (Ecology Coverage)</t>
  </si>
  <si>
    <t>(KC building permiting data)</t>
  </si>
  <si>
    <t>2000-2009</t>
  </si>
  <si>
    <t>2010-2017</t>
  </si>
  <si>
    <t>permits per year</t>
  </si>
  <si>
    <t>% of county-wide total</t>
  </si>
  <si>
    <t>WRIA 8</t>
  </si>
  <si>
    <t>PE/yr</t>
  </si>
  <si>
    <t>20 yr est</t>
  </si>
  <si>
    <t>Historic %</t>
  </si>
  <si>
    <t>Water District info</t>
  </si>
  <si>
    <t xml:space="preserve">Ag PD </t>
  </si>
  <si>
    <t>permits</t>
  </si>
  <si>
    <t>% of WRIA total</t>
  </si>
  <si>
    <t>wtr dst (within water district)</t>
  </si>
  <si>
    <t>no dst (outside water district)</t>
  </si>
  <si>
    <t>Forest PD</t>
  </si>
  <si>
    <t>Water service info</t>
  </si>
  <si>
    <t>(derived from KC parcel attribute data)</t>
  </si>
  <si>
    <t>public water system (pub)</t>
  </si>
  <si>
    <t>other</t>
  </si>
  <si>
    <t xml:space="preserve">Existing </t>
  </si>
  <si>
    <t>PE wells</t>
  </si>
  <si>
    <t>error</t>
  </si>
  <si>
    <t>historic growth by KC stream basin</t>
  </si>
  <si>
    <t>39 basins in WRIA 8 within KC</t>
  </si>
  <si>
    <t>52% of the area in rural King County</t>
  </si>
  <si>
    <t>permits/year</t>
  </si>
  <si>
    <t>Wells per year + 6% error</t>
  </si>
  <si>
    <t>Total wells in 20 years</t>
  </si>
  <si>
    <t>Growth Forecast Scenarios - New Homes</t>
  </si>
  <si>
    <t>2019 Available Capacity</t>
  </si>
  <si>
    <t>Total PE Wells</t>
  </si>
  <si>
    <t>GeoEngineers Proposed PE Well Allocation</t>
  </si>
  <si>
    <t>Added by GeoEngineers:</t>
  </si>
  <si>
    <t>North Creek HUC = Swamp/North Subbasin (KC proposal)</t>
  </si>
  <si>
    <t xml:space="preserve">Bear Creek - Sammamish HUC = Little Bear Subbasin (KC proposal) </t>
  </si>
  <si>
    <t>Bear Creek HUC = Bear/Evans Subbasin (KC proposal)</t>
  </si>
  <si>
    <t>Total new home forecast (440) = calculated new residential dewllings per year (22) x WREC planning time period (20 years)</t>
  </si>
  <si>
    <t>Period</t>
  </si>
  <si>
    <t>Incorrect (Location, Date, etc.)</t>
  </si>
  <si>
    <t>Other (Test, Municipal, Dewatering, Industrial, Mitigation, UIC, Deepened or Refurbished)</t>
  </si>
  <si>
    <t>1998-2007</t>
  </si>
  <si>
    <t>2008-2018</t>
  </si>
  <si>
    <t>Percent of Total</t>
  </si>
  <si>
    <t>The remaining domestic wells that have been spot checked are located in the following City UGAs: Maple Valley (1), Mukileto (1), Mill Creek (3), Maltby (1), Kirkland (1) and Seattle (1).</t>
  </si>
  <si>
    <t>City UGA</t>
  </si>
  <si>
    <t xml:space="preserve">Mukilteo </t>
  </si>
  <si>
    <t>Mill Creek</t>
  </si>
  <si>
    <t>King co</t>
  </si>
  <si>
    <t>Maltby</t>
  </si>
  <si>
    <t>Kirkland/Seattle</t>
  </si>
  <si>
    <t>Maple Valley</t>
  </si>
  <si>
    <t>Service Area/City Policy Notes:</t>
  </si>
  <si>
    <t>Redmond - PE wells not allowed. No new wells for irrigation that they know of.</t>
  </si>
  <si>
    <t>Sammamish - PE wells not allowed. No known areas that can not be reached by public water.</t>
  </si>
  <si>
    <t>The Highlands - all public water. Most lots have wells for irrigation due to large lawn size.</t>
  </si>
  <si>
    <t>Woodway - all public water. Many lots have wells for irrigation due to large lawn size.</t>
  </si>
  <si>
    <t>Domestic and Irrigation well numbers have been adjusted based on information provided by The Highlands, Olympic View</t>
  </si>
  <si>
    <t xml:space="preserve">       Water &amp; Sewer District, City of Redmond, City of Sammamish and cross-checking well address with UGA boundary.</t>
  </si>
  <si>
    <t>Total Potential Wells in UGA in 20 years</t>
  </si>
  <si>
    <r>
      <t>King County              (Past Trends)</t>
    </r>
    <r>
      <rPr>
        <b/>
        <vertAlign val="superscript"/>
        <sz val="11"/>
        <color theme="1"/>
        <rFont val="Calibri"/>
        <family val="2"/>
        <scheme val="minor"/>
      </rPr>
      <t>1</t>
    </r>
  </si>
  <si>
    <t>Subbasin 4 - Little Bear = Includes Snohomish County "Bear Creek - Sammamish River" HUC</t>
  </si>
  <si>
    <t>Subbasin 6 - Bear/Evans = Includes King County "Bear Creek" and "Evans Creek" basins combined and Snohomish County "Bear Creek" HUC</t>
  </si>
  <si>
    <t xml:space="preserve">Subbasin 9 - Lk Samm creeks = Includes King County "Tibbets Creek" basin </t>
  </si>
  <si>
    <t>Subbasin 3 - Swamp/North = Includes Snohomish County "North Creek" HUC. All UGA wells predicted to be in North Creek portion.</t>
  </si>
  <si>
    <t>3 - Swamp/North</t>
  </si>
  <si>
    <t>Proposed King County Subbasins*</t>
  </si>
  <si>
    <t>Prepared by GeoEngineers</t>
  </si>
  <si>
    <t>* Subbasins from King County proposal dated 7/25/19. Also referred to as "WRIA 8 Draft Subbasin C" on web map. This proposal was used because it delineates subbasins on a finer scale than the other proposals.</t>
  </si>
  <si>
    <r>
      <rPr>
        <sz val="11"/>
        <color theme="1"/>
        <rFont val="Calibri"/>
        <family val="2"/>
        <scheme val="minor"/>
      </rPr>
      <t xml:space="preserve">Projected PE well growth exceeds capacity in the Bear Creek - Sammamish River HUC.  </t>
    </r>
    <r>
      <rPr>
        <b/>
        <i/>
        <sz val="11"/>
        <color theme="1"/>
        <rFont val="Calibri"/>
        <family val="2"/>
        <scheme val="minor"/>
      </rPr>
      <t>GeoEngineers proposes reallocating the growth to the Bear Creek HUC.</t>
    </r>
  </si>
  <si>
    <t>Total Rounded</t>
  </si>
  <si>
    <t xml:space="preserve">Total Rounded </t>
  </si>
  <si>
    <t>Spot Checked 1998-2007</t>
  </si>
  <si>
    <t>Spot Checked 2008-2018</t>
  </si>
  <si>
    <t>Potential number of new wells based on percentage of past 20 year total (205)</t>
  </si>
  <si>
    <t>Future Permit-Exempt wells</t>
  </si>
  <si>
    <t>Average wells per year (pvt)</t>
  </si>
  <si>
    <t>Average bldg. permits per year</t>
  </si>
  <si>
    <r>
      <t>Total PE Wells</t>
    </r>
    <r>
      <rPr>
        <vertAlign val="superscript"/>
        <sz val="11"/>
        <color theme="1"/>
        <rFont val="Calibri"/>
        <family val="2"/>
        <scheme val="minor"/>
      </rPr>
      <t>4</t>
    </r>
    <r>
      <rPr>
        <b/>
        <sz val="11"/>
        <color theme="1"/>
        <rFont val="Calibri"/>
        <family val="2"/>
        <scheme val="minor"/>
      </rPr>
      <t xml:space="preserve"> per Subbasin</t>
    </r>
  </si>
  <si>
    <r>
      <rPr>
        <vertAlign val="superscript"/>
        <sz val="11"/>
        <color theme="1"/>
        <rFont val="Calibri"/>
        <family val="2"/>
        <scheme val="minor"/>
      </rPr>
      <t>4</t>
    </r>
    <r>
      <rPr>
        <sz val="11"/>
        <color theme="1"/>
        <rFont val="Calibri"/>
        <family val="2"/>
        <scheme val="minor"/>
      </rPr>
      <t xml:space="preserve"> = "PE wells" is used to refer to new homes associated with new permit-exempt wells and also new homes added to existing wells on group systems relying on
permit-exempt wells. </t>
    </r>
  </si>
  <si>
    <r>
      <t>PE Wells in UGA</t>
    </r>
    <r>
      <rPr>
        <vertAlign val="superscript"/>
        <sz val="11"/>
        <color theme="1"/>
        <rFont val="Calibri"/>
        <family val="2"/>
        <scheme val="minor"/>
      </rPr>
      <t>3</t>
    </r>
  </si>
  <si>
    <t>well - private water (pvt)</t>
  </si>
  <si>
    <t>Well</t>
  </si>
  <si>
    <t>Public</t>
  </si>
  <si>
    <t>% well</t>
  </si>
  <si>
    <t>% pub</t>
  </si>
  <si>
    <t>A total of 21 wells logged as "domestic" are actually irrigation wells and were moved to that category.</t>
  </si>
  <si>
    <t>King County - Unincorporated WRIA 8 Growth Projections</t>
  </si>
  <si>
    <t>Snohomish County - Unincorporated WRIA 8 Growth Projections</t>
  </si>
  <si>
    <t>GeoEngineers - Incorporated (UGA) WRIA 8 Growth Projections</t>
  </si>
  <si>
    <t>Total Wells</t>
  </si>
  <si>
    <t>Total Wells Spot Checked</t>
  </si>
  <si>
    <t>Domestic wells (includes Group B wells)</t>
  </si>
  <si>
    <t>Irrigation wells</t>
  </si>
  <si>
    <t>Proposed subbasins</t>
  </si>
  <si>
    <t>Alerwood Water and Wastewater District - expanding service rapidly.</t>
  </si>
  <si>
    <t xml:space="preserve">Note: This tables includes data for wells in Ecology's Well Report database, filtered for a depth greater than 30 feet and diameter 6-8 inches. Ecology does not have the ability to filter for permit-exempt domestic wells. Information in the database is based on records submitted by the driller. Well Report Data and Images released from the Department of Ecology are provided on an “AS IS” basis, without warranty of any kind.   </t>
  </si>
  <si>
    <t>GeoEngineers - UGA Well Log Spot Check</t>
  </si>
  <si>
    <r>
      <rPr>
        <vertAlign val="superscript"/>
        <sz val="11"/>
        <color theme="1"/>
        <rFont val="Calibri"/>
        <family val="2"/>
        <scheme val="minor"/>
      </rPr>
      <t>1</t>
    </r>
    <r>
      <rPr>
        <sz val="11"/>
        <color theme="1"/>
        <rFont val="Calibri"/>
        <family val="2"/>
        <scheme val="minor"/>
      </rPr>
      <t xml:space="preserve"> = Based on 20 year estimate of potential new permit exempt wells plus 6% error in unincorporated King County.</t>
    </r>
  </si>
  <si>
    <r>
      <rPr>
        <vertAlign val="superscript"/>
        <sz val="11"/>
        <color theme="1"/>
        <rFont val="Calibri"/>
        <family val="2"/>
        <scheme val="minor"/>
      </rPr>
      <t>2</t>
    </r>
    <r>
      <rPr>
        <sz val="11"/>
        <color theme="1"/>
        <rFont val="Calibri"/>
        <family val="2"/>
        <scheme val="minor"/>
      </rPr>
      <t xml:space="preserve"> = Based on 20 year estimate of potential new permit exempt wells in unincorporated Snohomish County.  59 of the wells projected for "Little Bear" are reallocated to "Bear/Evans" to account for shortfall of available parcels in Little Bear Creek subbasin.</t>
    </r>
  </si>
  <si>
    <r>
      <rPr>
        <vertAlign val="superscript"/>
        <sz val="11"/>
        <color theme="1"/>
        <rFont val="Calibri"/>
        <family val="2"/>
        <scheme val="minor"/>
      </rPr>
      <t>3</t>
    </r>
    <r>
      <rPr>
        <sz val="11"/>
        <color theme="1"/>
        <rFont val="Calibri"/>
        <family val="2"/>
        <scheme val="minor"/>
      </rPr>
      <t xml:space="preserve"> = Based on spot check of Ecology well log database. Accounts for potential wells within the incorporated Urban Growth Area over the 20-year planning period.</t>
    </r>
  </si>
  <si>
    <r>
      <t xml:space="preserve">Growth Projections for new PE wells in WRIA 8 - Cedar-Sammamish
</t>
    </r>
    <r>
      <rPr>
        <b/>
        <sz val="14"/>
        <color theme="1"/>
        <rFont val="Calibri"/>
        <family val="2"/>
        <scheme val="minor"/>
      </rPr>
      <t>2018-2038</t>
    </r>
  </si>
  <si>
    <t>Draft 8/9/19</t>
  </si>
  <si>
    <t>Wells 
(private water)</t>
  </si>
  <si>
    <t>draft as of 8/14/19</t>
  </si>
  <si>
    <t>North Creek (Swamp/North Subbasin)</t>
  </si>
  <si>
    <t>Bear Creek - Sammamish River (Little Bear Subbasin)</t>
  </si>
  <si>
    <t>Bear Creek (Bear/Evans Subbasin)</t>
  </si>
  <si>
    <t>Bear Creek*
(6-Bear/Evans Subbasin)</t>
  </si>
  <si>
    <t>Tibbetts Creek* 
(9-Lk Samm Creeks Subbasin)</t>
  </si>
  <si>
    <t>May Creek*
(8-May/Coal Subbasin)</t>
  </si>
  <si>
    <r>
      <t xml:space="preserve">Stream Basin w/ permits
</t>
    </r>
    <r>
      <rPr>
        <sz val="9"/>
        <color theme="1"/>
        <rFont val="Calibri"/>
        <family val="2"/>
        <scheme val="minor"/>
      </rPr>
      <t>(proposed subbasin, if different name)</t>
    </r>
  </si>
  <si>
    <t>Evans Creek*
(6-Bear/Evans Subbasin)</t>
  </si>
  <si>
    <t>Sammamish River*
(Samm Rivr Valley)</t>
  </si>
  <si>
    <t xml:space="preserve">SNOHOMISH COUNTY                                          
WRIA 8 - HUC 12 Name
(proposed subbasin name)
</t>
  </si>
  <si>
    <t>Past Trends</t>
  </si>
  <si>
    <t>Capacity Surplus or Shortfall       - Past Trends Scenario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</si>
</sst>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12" x14ac:knownFonts="1">
    <font>
      <sz val="11"/>
      <color theme="1"/>
      <name val="Calibri"/>
      <family val="2"/>
      <scheme val="minor"/>
    </font>
    <font>
      <b/>
      <sz val="11"/>
      <color theme="1"/>
      <name val="Calibri"/>
      <family val="2"/>
      <scheme val="minor"/>
    </font>
    <font>
      <b/>
      <sz val="18"/>
      <color theme="1"/>
      <name val="Calibri"/>
      <family val="2"/>
      <scheme val="minor"/>
    </font>
    <font>
      <sz val="11"/>
      <name val="Calibri"/>
      <family val="2"/>
      <scheme val="minor"/>
    </font>
    <font>
      <vertAlign val="superscript"/>
      <sz val="11"/>
      <color theme="1"/>
      <name val="Calibri"/>
      <family val="2"/>
      <scheme val="minor"/>
    </font>
    <font>
      <b/>
      <vertAlign val="superscript"/>
      <sz val="11"/>
      <color theme="1"/>
      <name val="Calibri"/>
      <family val="2"/>
      <scheme val="minor"/>
    </font>
    <font>
      <i/>
      <sz val="11"/>
      <color theme="1"/>
      <name val="Calibri"/>
      <family val="2"/>
      <scheme val="minor"/>
    </font>
    <font>
      <sz val="11"/>
      <color theme="1"/>
      <name val="Calibri"/>
      <family val="2"/>
      <scheme val="minor"/>
    </font>
    <font>
      <sz val="11"/>
      <color rgb="FFFF0000"/>
      <name val="Calibri"/>
      <family val="2"/>
      <scheme val="minor"/>
    </font>
    <font>
      <b/>
      <i/>
      <sz val="11"/>
      <color theme="1"/>
      <name val="Calibri"/>
      <family val="2"/>
      <scheme val="minor"/>
    </font>
    <font>
      <b/>
      <sz val="14"/>
      <color theme="1"/>
      <name val="Calibri"/>
      <family val="2"/>
      <scheme val="minor"/>
    </font>
    <font>
      <sz val="9"/>
      <color theme="1"/>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rgb="FFFFFBEF"/>
        <bgColor indexed="64"/>
      </patternFill>
    </fill>
    <fill>
      <patternFill patternType="solid">
        <fgColor theme="9" tint="0.79998168889431442"/>
        <bgColor indexed="64"/>
      </patternFill>
    </fill>
    <fill>
      <patternFill patternType="solid">
        <fgColor rgb="FFEFF6FB"/>
        <bgColor indexed="64"/>
      </patternFill>
    </fill>
    <fill>
      <patternFill patternType="solid">
        <fgColor theme="5" tint="0.79998168889431442"/>
        <bgColor indexed="64"/>
      </patternFill>
    </fill>
  </fills>
  <borders count="65">
    <border>
      <left/>
      <right/>
      <top/>
      <bottom/>
      <diagonal/>
    </border>
    <border>
      <left style="thin">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medium">
        <color indexed="64"/>
      </left>
      <right/>
      <top style="medium">
        <color indexed="64"/>
      </top>
      <bottom/>
      <diagonal/>
    </border>
    <border>
      <left style="thin">
        <color auto="1"/>
      </left>
      <right style="medium">
        <color indexed="64"/>
      </right>
      <top style="thin">
        <color auto="1"/>
      </top>
      <bottom style="thin">
        <color auto="1"/>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double">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bottom style="double">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double">
        <color indexed="64"/>
      </bottom>
      <diagonal/>
    </border>
    <border>
      <left/>
      <right style="medium">
        <color indexed="64"/>
      </right>
      <top/>
      <bottom style="double">
        <color indexed="64"/>
      </bottom>
      <diagonal/>
    </border>
    <border>
      <left/>
      <right style="medium">
        <color indexed="64"/>
      </right>
      <top/>
      <bottom style="thin">
        <color indexed="64"/>
      </bottom>
      <diagonal/>
    </border>
    <border>
      <left/>
      <right style="medium">
        <color indexed="64"/>
      </right>
      <top style="thin">
        <color auto="1"/>
      </top>
      <bottom style="thin">
        <color auto="1"/>
      </bottom>
      <diagonal/>
    </border>
    <border>
      <left style="medium">
        <color indexed="64"/>
      </left>
      <right/>
      <top style="medium">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ck">
        <color auto="1"/>
      </left>
      <right/>
      <top style="thin">
        <color auto="1"/>
      </top>
      <bottom style="thin">
        <color auto="1"/>
      </bottom>
      <diagonal/>
    </border>
    <border>
      <left style="thin">
        <color indexed="64"/>
      </left>
      <right style="thick">
        <color indexed="64"/>
      </right>
      <top style="thin">
        <color indexed="64"/>
      </top>
      <bottom style="thin">
        <color indexed="64"/>
      </bottom>
      <diagonal/>
    </border>
    <border>
      <left style="thick">
        <color indexed="64"/>
      </left>
      <right/>
      <top/>
      <bottom/>
      <diagonal/>
    </border>
    <border>
      <left/>
      <right style="thick">
        <color indexed="64"/>
      </right>
      <top/>
      <bottom/>
      <diagonal/>
    </border>
    <border>
      <left/>
      <right/>
      <top/>
      <bottom style="thin">
        <color indexed="64"/>
      </bottom>
      <diagonal/>
    </border>
    <border>
      <left style="thick">
        <color auto="1"/>
      </left>
      <right/>
      <top style="double">
        <color auto="1"/>
      </top>
      <bottom style="thick">
        <color auto="1"/>
      </bottom>
      <diagonal/>
    </border>
    <border>
      <left style="thick">
        <color indexed="64"/>
      </left>
      <right style="thin">
        <color indexed="64"/>
      </right>
      <top style="double">
        <color indexed="64"/>
      </top>
      <bottom style="thick">
        <color indexed="64"/>
      </bottom>
      <diagonal/>
    </border>
    <border>
      <left style="thin">
        <color indexed="64"/>
      </left>
      <right style="thin">
        <color indexed="64"/>
      </right>
      <top style="double">
        <color indexed="64"/>
      </top>
      <bottom style="thick">
        <color indexed="64"/>
      </bottom>
      <diagonal/>
    </border>
    <border>
      <left style="thin">
        <color indexed="64"/>
      </left>
      <right style="thick">
        <color indexed="64"/>
      </right>
      <top style="double">
        <color indexed="64"/>
      </top>
      <bottom style="thick">
        <color indexed="64"/>
      </bottom>
      <diagonal/>
    </border>
    <border>
      <left/>
      <right style="thin">
        <color auto="1"/>
      </right>
      <top style="double">
        <color auto="1"/>
      </top>
      <bottom style="thick">
        <color auto="1"/>
      </bottom>
      <diagonal/>
    </border>
    <border>
      <left/>
      <right style="thin">
        <color indexed="64"/>
      </right>
      <top style="thin">
        <color indexed="64"/>
      </top>
      <bottom style="double">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medium">
        <color indexed="64"/>
      </right>
      <top style="thin">
        <color indexed="64"/>
      </top>
      <bottom style="thick">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style="double">
        <color indexed="64"/>
      </top>
      <bottom style="medium">
        <color indexed="64"/>
      </bottom>
      <diagonal/>
    </border>
    <border>
      <left style="medium">
        <color indexed="64"/>
      </left>
      <right style="medium">
        <color indexed="64"/>
      </right>
      <top style="thin">
        <color indexed="64"/>
      </top>
      <bottom style="double">
        <color indexed="64"/>
      </bottom>
      <diagonal/>
    </border>
    <border>
      <left/>
      <right style="thin">
        <color indexed="64"/>
      </right>
      <top/>
      <bottom style="medium">
        <color indexed="64"/>
      </bottom>
      <diagonal/>
    </border>
    <border>
      <left/>
      <right style="medium">
        <color indexed="64"/>
      </right>
      <top style="thin">
        <color indexed="64"/>
      </top>
      <bottom style="double">
        <color indexed="64"/>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top/>
      <bottom style="thin">
        <color indexed="64"/>
      </bottom>
      <diagonal/>
    </border>
    <border>
      <left/>
      <right/>
      <top style="thin">
        <color indexed="64"/>
      </top>
      <bottom style="thin">
        <color indexed="64"/>
      </bottom>
      <diagonal/>
    </border>
  </borders>
  <cellStyleXfs count="2">
    <xf numFmtId="0" fontId="0" fillId="0" borderId="0"/>
    <xf numFmtId="9" fontId="7" fillId="0" borderId="0" applyFont="0" applyFill="0" applyBorder="0" applyAlignment="0" applyProtection="0"/>
  </cellStyleXfs>
  <cellXfs count="185">
    <xf numFmtId="0" fontId="0" fillId="0" borderId="0" xfId="0"/>
    <xf numFmtId="0" fontId="2" fillId="0" borderId="0" xfId="0" applyFont="1"/>
    <xf numFmtId="0" fontId="0" fillId="0" borderId="0" xfId="0" applyAlignment="1">
      <alignment horizontal="center"/>
    </xf>
    <xf numFmtId="1" fontId="0" fillId="0" borderId="0" xfId="0" applyNumberFormat="1"/>
    <xf numFmtId="0" fontId="0" fillId="0" borderId="0" xfId="0" applyFill="1" applyBorder="1"/>
    <xf numFmtId="0" fontId="0" fillId="0" borderId="0" xfId="0" applyBorder="1" applyAlignment="1">
      <alignment horizontal="center"/>
    </xf>
    <xf numFmtId="0" fontId="0" fillId="3" borderId="2" xfId="0" applyFill="1" applyBorder="1"/>
    <xf numFmtId="0" fontId="0" fillId="3" borderId="1" xfId="0" applyFill="1" applyBorder="1"/>
    <xf numFmtId="1" fontId="0" fillId="0" borderId="0" xfId="0" applyNumberFormat="1" applyAlignment="1">
      <alignment horizontal="center"/>
    </xf>
    <xf numFmtId="0" fontId="0" fillId="0" borderId="5" xfId="0"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2" fillId="0" borderId="10" xfId="0" applyFont="1" applyBorder="1"/>
    <xf numFmtId="0" fontId="0" fillId="0" borderId="12" xfId="0" applyBorder="1" applyAlignment="1">
      <alignment horizontal="left"/>
    </xf>
    <xf numFmtId="0" fontId="0" fillId="0" borderId="13" xfId="0" applyBorder="1" applyAlignment="1">
      <alignment horizontal="left"/>
    </xf>
    <xf numFmtId="0" fontId="0" fillId="0" borderId="13" xfId="0" applyBorder="1"/>
    <xf numFmtId="0" fontId="0" fillId="0" borderId="4" xfId="0" applyBorder="1" applyAlignment="1">
      <alignment horizontal="center"/>
    </xf>
    <xf numFmtId="0" fontId="1" fillId="0" borderId="10" xfId="0" applyFont="1" applyBorder="1" applyAlignment="1">
      <alignment horizontal="center" vertical="center" wrapText="1"/>
    </xf>
    <xf numFmtId="0" fontId="0" fillId="0" borderId="12" xfId="0" quotePrefix="1" applyBorder="1" applyAlignment="1">
      <alignment horizontal="center"/>
    </xf>
    <xf numFmtId="0" fontId="0" fillId="0" borderId="13" xfId="0" quotePrefix="1" applyBorder="1" applyAlignment="1">
      <alignment horizontal="center"/>
    </xf>
    <xf numFmtId="0" fontId="0" fillId="0" borderId="13" xfId="0" applyBorder="1" applyAlignment="1">
      <alignment horizontal="center"/>
    </xf>
    <xf numFmtId="0" fontId="1" fillId="0" borderId="14" xfId="0" applyFont="1" applyBorder="1" applyAlignment="1">
      <alignment horizontal="center" vertical="center" wrapText="1"/>
    </xf>
    <xf numFmtId="0" fontId="1" fillId="0" borderId="10" xfId="0" applyFont="1" applyBorder="1" applyAlignment="1">
      <alignment horizontal="center" wrapText="1"/>
    </xf>
    <xf numFmtId="0" fontId="0" fillId="0" borderId="12" xfId="0" applyBorder="1" applyAlignment="1">
      <alignment horizontal="center"/>
    </xf>
    <xf numFmtId="1" fontId="0" fillId="0" borderId="13" xfId="0" applyNumberFormat="1" applyBorder="1" applyAlignment="1">
      <alignment horizontal="center"/>
    </xf>
    <xf numFmtId="0" fontId="6" fillId="0" borderId="0" xfId="0" applyFont="1"/>
    <xf numFmtId="0" fontId="1" fillId="0" borderId="16" xfId="0" applyFont="1" applyBorder="1" applyAlignment="1">
      <alignment horizontal="center"/>
    </xf>
    <xf numFmtId="1" fontId="1" fillId="0" borderId="17" xfId="0" applyNumberFormat="1" applyFont="1" applyBorder="1" applyAlignment="1">
      <alignment horizontal="center"/>
    </xf>
    <xf numFmtId="0" fontId="1" fillId="0" borderId="0" xfId="0" applyFont="1" applyFill="1" applyBorder="1" applyAlignment="1">
      <alignment horizontal="center"/>
    </xf>
    <xf numFmtId="0" fontId="1" fillId="0" borderId="18" xfId="0" applyFont="1" applyBorder="1" applyAlignment="1">
      <alignment horizontal="center" vertical="center" wrapText="1"/>
    </xf>
    <xf numFmtId="0" fontId="0" fillId="0" borderId="19" xfId="0" applyBorder="1" applyAlignment="1">
      <alignment horizontal="center"/>
    </xf>
    <xf numFmtId="0" fontId="0" fillId="0" borderId="19" xfId="0" applyBorder="1"/>
    <xf numFmtId="0" fontId="0" fillId="0" borderId="20" xfId="0" applyBorder="1" applyAlignment="1">
      <alignment horizontal="center"/>
    </xf>
    <xf numFmtId="9" fontId="0" fillId="0" borderId="20" xfId="1" applyFont="1" applyBorder="1" applyAlignment="1">
      <alignment horizontal="center"/>
    </xf>
    <xf numFmtId="0" fontId="0" fillId="0" borderId="1" xfId="0" applyBorder="1" applyAlignment="1">
      <alignment horizontal="center"/>
    </xf>
    <xf numFmtId="0" fontId="0" fillId="2" borderId="1" xfId="0" applyFill="1" applyBorder="1" applyAlignment="1">
      <alignment horizontal="center"/>
    </xf>
    <xf numFmtId="9" fontId="0" fillId="2" borderId="1" xfId="1" applyFont="1" applyFill="1" applyBorder="1" applyAlignment="1">
      <alignment horizontal="center"/>
    </xf>
    <xf numFmtId="9" fontId="0" fillId="0" borderId="0" xfId="1" applyFont="1" applyAlignment="1">
      <alignment horizontal="center"/>
    </xf>
    <xf numFmtId="0" fontId="0" fillId="0" borderId="0" xfId="0" applyAlignment="1">
      <alignment horizontal="center" vertical="center"/>
    </xf>
    <xf numFmtId="2" fontId="0" fillId="0" borderId="0" xfId="0" applyNumberFormat="1" applyAlignment="1">
      <alignment horizontal="left"/>
    </xf>
    <xf numFmtId="9" fontId="0" fillId="0" borderId="0" xfId="0" applyNumberFormat="1" applyAlignment="1">
      <alignment horizontal="center"/>
    </xf>
    <xf numFmtId="0" fontId="1" fillId="2" borderId="0" xfId="0" applyFont="1" applyFill="1"/>
    <xf numFmtId="0" fontId="1" fillId="2" borderId="0" xfId="0" applyFont="1" applyFill="1" applyAlignment="1">
      <alignment horizontal="center"/>
    </xf>
    <xf numFmtId="0" fontId="0" fillId="2" borderId="0" xfId="0" applyFill="1"/>
    <xf numFmtId="0" fontId="0" fillId="0" borderId="0" xfId="0" applyAlignment="1">
      <alignment horizontal="right"/>
    </xf>
    <xf numFmtId="164" fontId="0" fillId="0" borderId="0" xfId="0" applyNumberFormat="1"/>
    <xf numFmtId="1" fontId="1" fillId="2" borderId="0" xfId="0" applyNumberFormat="1" applyFont="1" applyFill="1" applyAlignment="1">
      <alignment horizontal="center"/>
    </xf>
    <xf numFmtId="0" fontId="0" fillId="0" borderId="1" xfId="0" applyBorder="1"/>
    <xf numFmtId="0" fontId="0" fillId="0" borderId="1" xfId="0" applyBorder="1" applyAlignment="1">
      <alignment horizontal="left"/>
    </xf>
    <xf numFmtId="0" fontId="1" fillId="0" borderId="0" xfId="0" applyFont="1"/>
    <xf numFmtId="2" fontId="0" fillId="4" borderId="0" xfId="0" applyNumberFormat="1" applyFill="1" applyAlignment="1">
      <alignment horizontal="left"/>
    </xf>
    <xf numFmtId="1" fontId="0" fillId="4" borderId="0" xfId="0" applyNumberFormat="1" applyFill="1" applyAlignment="1">
      <alignment horizontal="center"/>
    </xf>
    <xf numFmtId="0" fontId="0" fillId="4" borderId="1" xfId="0" applyFill="1" applyBorder="1" applyAlignment="1">
      <alignment horizontal="center" wrapText="1"/>
    </xf>
    <xf numFmtId="2" fontId="0" fillId="4" borderId="1" xfId="0" applyNumberFormat="1" applyFill="1" applyBorder="1" applyAlignment="1">
      <alignment horizontal="center"/>
    </xf>
    <xf numFmtId="0" fontId="1" fillId="4" borderId="1" xfId="0" applyFont="1" applyFill="1" applyBorder="1" applyAlignment="1">
      <alignment horizontal="center"/>
    </xf>
    <xf numFmtId="1" fontId="1" fillId="4" borderId="0" xfId="0" applyNumberFormat="1" applyFont="1" applyFill="1" applyAlignment="1">
      <alignment horizontal="center"/>
    </xf>
    <xf numFmtId="0" fontId="0" fillId="4" borderId="0" xfId="0" applyFill="1"/>
    <xf numFmtId="0" fontId="1" fillId="3" borderId="2"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22" xfId="0" applyFont="1" applyFill="1" applyBorder="1" applyAlignment="1">
      <alignment horizontal="center" vertical="center" wrapText="1"/>
    </xf>
    <xf numFmtId="0" fontId="1" fillId="5" borderId="2" xfId="0" applyFont="1" applyFill="1" applyBorder="1" applyAlignment="1">
      <alignment horizontal="center" vertical="center" wrapText="1"/>
    </xf>
    <xf numFmtId="0" fontId="1" fillId="5" borderId="1" xfId="0" applyFont="1" applyFill="1" applyBorder="1" applyAlignment="1">
      <alignment horizontal="center" vertical="center" wrapText="1"/>
    </xf>
    <xf numFmtId="0" fontId="1" fillId="5" borderId="22" xfId="0" applyFont="1" applyFill="1" applyBorder="1" applyAlignment="1">
      <alignment horizontal="center" vertical="center" wrapText="1"/>
    </xf>
    <xf numFmtId="0" fontId="0" fillId="0" borderId="21" xfId="0" applyBorder="1"/>
    <xf numFmtId="0" fontId="0" fillId="3" borderId="22" xfId="0" applyFill="1" applyBorder="1"/>
    <xf numFmtId="0" fontId="0" fillId="5" borderId="2" xfId="0" applyFill="1" applyBorder="1"/>
    <xf numFmtId="0" fontId="0" fillId="5" borderId="1" xfId="0" applyFill="1" applyBorder="1"/>
    <xf numFmtId="0" fontId="0" fillId="5" borderId="22" xfId="0" applyFill="1" applyBorder="1"/>
    <xf numFmtId="0" fontId="8" fillId="5" borderId="22" xfId="0" applyFont="1" applyFill="1" applyBorder="1"/>
    <xf numFmtId="0" fontId="0" fillId="0" borderId="26" xfId="0" applyBorder="1"/>
    <xf numFmtId="0" fontId="0" fillId="3" borderId="27" xfId="0" applyFill="1" applyBorder="1"/>
    <xf numFmtId="0" fontId="0" fillId="3" borderId="28" xfId="0" applyFill="1" applyBorder="1"/>
    <xf numFmtId="0" fontId="0" fillId="3" borderId="29" xfId="0" applyFill="1" applyBorder="1"/>
    <xf numFmtId="0" fontId="0" fillId="5" borderId="27" xfId="0" applyFill="1" applyBorder="1"/>
    <xf numFmtId="0" fontId="0" fillId="5" borderId="28" xfId="0" applyFill="1" applyBorder="1"/>
    <xf numFmtId="0" fontId="0" fillId="5" borderId="29" xfId="0" applyFill="1" applyBorder="1"/>
    <xf numFmtId="0" fontId="3" fillId="3" borderId="22" xfId="0" applyFont="1" applyFill="1" applyBorder="1"/>
    <xf numFmtId="0" fontId="0" fillId="0" borderId="34" xfId="0" applyBorder="1"/>
    <xf numFmtId="0" fontId="0" fillId="0" borderId="35" xfId="0" applyBorder="1" applyAlignment="1">
      <alignment horizontal="center"/>
    </xf>
    <xf numFmtId="0" fontId="0" fillId="0" borderId="35" xfId="0" applyBorder="1" applyAlignment="1">
      <alignment horizontal="center" wrapText="1"/>
    </xf>
    <xf numFmtId="0" fontId="0" fillId="0" borderId="36" xfId="0" applyBorder="1" applyAlignment="1">
      <alignment horizontal="center" wrapText="1"/>
    </xf>
    <xf numFmtId="0" fontId="0" fillId="0" borderId="37" xfId="0" applyBorder="1"/>
    <xf numFmtId="0" fontId="0" fillId="0" borderId="38" xfId="0" applyBorder="1"/>
    <xf numFmtId="0" fontId="0" fillId="0" borderId="38" xfId="0" applyBorder="1" applyAlignment="1">
      <alignment horizontal="left"/>
    </xf>
    <xf numFmtId="9" fontId="0" fillId="0" borderId="0" xfId="0" applyNumberFormat="1"/>
    <xf numFmtId="0" fontId="0" fillId="0" borderId="39" xfId="0" applyBorder="1"/>
    <xf numFmtId="0" fontId="0" fillId="0" borderId="40" xfId="0" applyBorder="1"/>
    <xf numFmtId="9" fontId="0" fillId="0" borderId="40" xfId="1" applyFont="1" applyBorder="1" applyAlignment="1">
      <alignment horizontal="center"/>
    </xf>
    <xf numFmtId="9" fontId="0" fillId="0" borderId="41" xfId="1" applyFont="1" applyBorder="1" applyAlignment="1">
      <alignment horizontal="center"/>
    </xf>
    <xf numFmtId="0" fontId="1" fillId="0" borderId="43" xfId="0" applyFont="1" applyBorder="1"/>
    <xf numFmtId="0" fontId="1" fillId="0" borderId="44" xfId="0" applyFont="1" applyBorder="1"/>
    <xf numFmtId="1" fontId="1" fillId="0" borderId="44" xfId="0" applyNumberFormat="1" applyFont="1" applyBorder="1" applyAlignment="1">
      <alignment horizontal="center"/>
    </xf>
    <xf numFmtId="1" fontId="0" fillId="0" borderId="44" xfId="0" applyNumberFormat="1" applyBorder="1" applyAlignment="1">
      <alignment horizontal="center"/>
    </xf>
    <xf numFmtId="1" fontId="0" fillId="0" borderId="6" xfId="0" applyNumberFormat="1" applyBorder="1" applyAlignment="1">
      <alignment horizontal="center"/>
    </xf>
    <xf numFmtId="0" fontId="0" fillId="0" borderId="0" xfId="0" applyAlignment="1">
      <alignment vertical="top" wrapText="1"/>
    </xf>
    <xf numFmtId="0" fontId="0" fillId="6" borderId="9" xfId="0" applyFill="1" applyBorder="1"/>
    <xf numFmtId="0" fontId="0" fillId="6" borderId="1" xfId="0" applyFill="1" applyBorder="1"/>
    <xf numFmtId="0" fontId="0" fillId="6" borderId="22" xfId="0" applyFill="1" applyBorder="1"/>
    <xf numFmtId="0" fontId="0" fillId="6" borderId="31" xfId="0" applyFill="1" applyBorder="1"/>
    <xf numFmtId="0" fontId="0" fillId="6" borderId="30" xfId="0" applyFill="1" applyBorder="1"/>
    <xf numFmtId="0" fontId="0" fillId="6" borderId="28" xfId="0" applyFill="1" applyBorder="1"/>
    <xf numFmtId="0" fontId="0" fillId="6" borderId="29" xfId="0" applyFill="1" applyBorder="1"/>
    <xf numFmtId="0" fontId="0" fillId="0" borderId="0" xfId="0" applyFill="1"/>
    <xf numFmtId="0" fontId="0" fillId="0" borderId="45" xfId="0" applyFill="1" applyBorder="1" applyAlignment="1">
      <alignment horizontal="center" wrapText="1"/>
    </xf>
    <xf numFmtId="0" fontId="0" fillId="0" borderId="0" xfId="0" applyBorder="1"/>
    <xf numFmtId="0" fontId="0" fillId="0" borderId="46" xfId="0" applyBorder="1"/>
    <xf numFmtId="0" fontId="0" fillId="0" borderId="0" xfId="0" applyAlignment="1">
      <alignment horizontal="left" vertical="top" wrapText="1"/>
    </xf>
    <xf numFmtId="0" fontId="0" fillId="0" borderId="47" xfId="0" applyBorder="1" applyAlignment="1">
      <alignment horizontal="center"/>
    </xf>
    <xf numFmtId="0" fontId="0" fillId="0" borderId="9" xfId="0" applyBorder="1"/>
    <xf numFmtId="1" fontId="0" fillId="0" borderId="9" xfId="0" applyNumberFormat="1" applyBorder="1"/>
    <xf numFmtId="2" fontId="0" fillId="0" borderId="38" xfId="0" applyNumberFormat="1" applyBorder="1" applyAlignment="1">
      <alignment horizontal="center"/>
    </xf>
    <xf numFmtId="0" fontId="0" fillId="4" borderId="4" xfId="0" applyFill="1" applyBorder="1" applyAlignment="1">
      <alignment horizontal="center"/>
    </xf>
    <xf numFmtId="2" fontId="0" fillId="0" borderId="43" xfId="0" applyNumberFormat="1" applyBorder="1" applyAlignment="1">
      <alignment horizontal="center"/>
    </xf>
    <xf numFmtId="1" fontId="0" fillId="4" borderId="6" xfId="0" applyNumberFormat="1" applyFill="1" applyBorder="1" applyAlignment="1">
      <alignment horizontal="center"/>
    </xf>
    <xf numFmtId="1" fontId="0" fillId="0" borderId="0" xfId="0" applyNumberFormat="1" applyBorder="1"/>
    <xf numFmtId="0" fontId="1" fillId="4" borderId="13" xfId="0" applyFont="1" applyFill="1" applyBorder="1" applyAlignment="1">
      <alignment horizontal="center" vertical="center" wrapText="1"/>
    </xf>
    <xf numFmtId="0" fontId="0" fillId="4" borderId="13" xfId="0" applyFill="1" applyBorder="1"/>
    <xf numFmtId="0" fontId="0" fillId="4" borderId="50" xfId="0" applyFill="1" applyBorder="1"/>
    <xf numFmtId="0" fontId="0" fillId="4" borderId="51" xfId="0" applyFill="1" applyBorder="1"/>
    <xf numFmtId="0" fontId="1" fillId="0" borderId="48" xfId="0" applyFont="1" applyFill="1" applyBorder="1"/>
    <xf numFmtId="0" fontId="1" fillId="0" borderId="53" xfId="0" applyFont="1" applyBorder="1" applyAlignment="1">
      <alignment horizontal="center"/>
    </xf>
    <xf numFmtId="0" fontId="1" fillId="0" borderId="48" xfId="0" applyFont="1" applyBorder="1" applyAlignment="1">
      <alignment horizontal="center"/>
    </xf>
    <xf numFmtId="0" fontId="0" fillId="0" borderId="52" xfId="0" applyFill="1" applyBorder="1"/>
    <xf numFmtId="0" fontId="0" fillId="0" borderId="31" xfId="0" applyBorder="1" applyAlignment="1">
      <alignment horizontal="center"/>
    </xf>
    <xf numFmtId="0" fontId="0" fillId="0" borderId="52" xfId="0" quotePrefix="1" applyBorder="1" applyAlignment="1">
      <alignment horizontal="center"/>
    </xf>
    <xf numFmtId="1" fontId="0" fillId="0" borderId="52" xfId="0" applyNumberFormat="1" applyBorder="1" applyAlignment="1">
      <alignment horizontal="center"/>
    </xf>
    <xf numFmtId="0" fontId="1" fillId="0" borderId="54" xfId="0" applyFont="1" applyBorder="1" applyAlignment="1">
      <alignment horizontal="center"/>
    </xf>
    <xf numFmtId="0" fontId="0" fillId="0" borderId="20" xfId="0" applyBorder="1"/>
    <xf numFmtId="0" fontId="0" fillId="0" borderId="20" xfId="0" applyBorder="1" applyAlignment="1">
      <alignment horizontal="center" wrapText="1"/>
    </xf>
    <xf numFmtId="16" fontId="0" fillId="0" borderId="20" xfId="0" applyNumberFormat="1" applyBorder="1" applyAlignment="1">
      <alignment horizontal="center" wrapText="1"/>
    </xf>
    <xf numFmtId="0" fontId="0" fillId="0" borderId="63" xfId="0" applyBorder="1" applyAlignment="1">
      <alignment horizontal="center"/>
    </xf>
    <xf numFmtId="0" fontId="0" fillId="0" borderId="37" xfId="0" applyBorder="1" applyAlignment="1">
      <alignment horizontal="center" wrapText="1"/>
    </xf>
    <xf numFmtId="0" fontId="0" fillId="4" borderId="5" xfId="0" applyFill="1" applyBorder="1" applyAlignment="1">
      <alignment horizontal="center" wrapText="1"/>
    </xf>
    <xf numFmtId="0" fontId="0" fillId="0" borderId="8" xfId="0" applyBorder="1"/>
    <xf numFmtId="0" fontId="0" fillId="0" borderId="0" xfId="0" applyAlignment="1">
      <alignment wrapText="1"/>
    </xf>
    <xf numFmtId="0" fontId="0" fillId="0" borderId="19" xfId="0" applyBorder="1" applyAlignment="1">
      <alignment horizontal="center" wrapText="1"/>
    </xf>
    <xf numFmtId="0" fontId="0" fillId="0" borderId="0" xfId="0" applyBorder="1" applyAlignment="1">
      <alignment horizontal="left"/>
    </xf>
    <xf numFmtId="0" fontId="0" fillId="0" borderId="11" xfId="0" applyBorder="1" applyAlignment="1">
      <alignment horizontal="left" wrapText="1"/>
    </xf>
    <xf numFmtId="0" fontId="0" fillId="0" borderId="7" xfId="0" applyBorder="1" applyAlignment="1">
      <alignment horizontal="center" wrapText="1"/>
    </xf>
    <xf numFmtId="0" fontId="0" fillId="0" borderId="11" xfId="0" applyBorder="1" applyAlignment="1">
      <alignment horizontal="center" wrapText="1"/>
    </xf>
    <xf numFmtId="0" fontId="0" fillId="0" borderId="11" xfId="0" applyBorder="1" applyAlignment="1">
      <alignment wrapText="1"/>
    </xf>
    <xf numFmtId="0" fontId="0" fillId="0" borderId="15" xfId="0" applyBorder="1" applyAlignment="1">
      <alignment wrapText="1"/>
    </xf>
    <xf numFmtId="0" fontId="0" fillId="0" borderId="0" xfId="0" applyBorder="1" applyAlignment="1">
      <alignment wrapText="1"/>
    </xf>
    <xf numFmtId="1" fontId="0" fillId="0" borderId="0" xfId="0" applyNumberFormat="1" applyBorder="1" applyAlignment="1">
      <alignment wrapText="1"/>
    </xf>
    <xf numFmtId="0" fontId="0" fillId="0" borderId="0" xfId="0" applyFill="1" applyBorder="1" applyAlignment="1">
      <alignment wrapText="1"/>
    </xf>
    <xf numFmtId="0" fontId="0" fillId="0" borderId="0" xfId="0" applyFill="1" applyBorder="1" applyAlignment="1">
      <alignment horizontal="left" wrapText="1"/>
    </xf>
    <xf numFmtId="0" fontId="2" fillId="0" borderId="62" xfId="0" applyFont="1" applyBorder="1" applyAlignment="1">
      <alignment horizontal="center" wrapText="1"/>
    </xf>
    <xf numFmtId="0" fontId="2" fillId="0" borderId="62" xfId="0" applyFont="1" applyBorder="1" applyAlignment="1">
      <alignment horizontal="center"/>
    </xf>
    <xf numFmtId="0" fontId="0" fillId="0" borderId="0" xfId="0" applyAlignment="1">
      <alignment wrapText="1"/>
    </xf>
    <xf numFmtId="0" fontId="0" fillId="0" borderId="0" xfId="0" applyAlignment="1">
      <alignment horizontal="center" wrapText="1"/>
    </xf>
    <xf numFmtId="0" fontId="1" fillId="4" borderId="49" xfId="0" applyFont="1" applyFill="1" applyBorder="1" applyAlignment="1">
      <alignment horizontal="center" wrapText="1"/>
    </xf>
    <xf numFmtId="0" fontId="9" fillId="0" borderId="0" xfId="0" applyFont="1" applyAlignment="1">
      <alignment horizontal="left" wrapText="1"/>
    </xf>
    <xf numFmtId="0" fontId="2" fillId="0" borderId="59" xfId="0" applyFont="1" applyBorder="1" applyAlignment="1">
      <alignment horizontal="center" vertical="center"/>
    </xf>
    <xf numFmtId="0" fontId="2" fillId="0" borderId="60" xfId="0" applyFont="1" applyBorder="1" applyAlignment="1">
      <alignment horizontal="center" vertical="center"/>
    </xf>
    <xf numFmtId="0" fontId="2" fillId="0" borderId="61" xfId="0" applyFont="1" applyBorder="1" applyAlignment="1">
      <alignment horizontal="center" vertical="center"/>
    </xf>
    <xf numFmtId="0" fontId="1" fillId="0" borderId="55" xfId="0" applyFont="1" applyBorder="1" applyAlignment="1">
      <alignment horizontal="center" vertical="center" wrapText="1"/>
    </xf>
    <xf numFmtId="0" fontId="0" fillId="0" borderId="21" xfId="0" applyBorder="1" applyAlignment="1">
      <alignment horizontal="center" vertical="center" wrapText="1"/>
    </xf>
    <xf numFmtId="0" fontId="1" fillId="6" borderId="57" xfId="0" applyFont="1" applyFill="1" applyBorder="1" applyAlignment="1">
      <alignment horizontal="center"/>
    </xf>
    <xf numFmtId="0" fontId="1" fillId="6" borderId="20" xfId="0" applyFont="1" applyFill="1" applyBorder="1" applyAlignment="1">
      <alignment horizontal="center"/>
    </xf>
    <xf numFmtId="0" fontId="1" fillId="6" borderId="58" xfId="0" applyFont="1" applyFill="1" applyBorder="1" applyAlignment="1">
      <alignment horizontal="center"/>
    </xf>
    <xf numFmtId="0" fontId="1" fillId="5" borderId="23" xfId="0" applyFont="1" applyFill="1" applyBorder="1" applyAlignment="1">
      <alignment horizontal="center" vertical="center" wrapText="1"/>
    </xf>
    <xf numFmtId="0" fontId="1" fillId="5" borderId="0" xfId="0" applyFont="1" applyFill="1" applyBorder="1" applyAlignment="1">
      <alignment horizontal="center" vertical="center" wrapText="1"/>
    </xf>
    <xf numFmtId="0" fontId="1" fillId="5" borderId="24" xfId="0" applyFont="1" applyFill="1" applyBorder="1" applyAlignment="1">
      <alignment horizontal="center" vertical="center" wrapText="1"/>
    </xf>
    <xf numFmtId="0" fontId="1" fillId="5" borderId="0" xfId="0" applyFont="1" applyFill="1" applyAlignment="1">
      <alignment horizontal="center" vertical="center" wrapText="1"/>
    </xf>
    <xf numFmtId="0" fontId="1" fillId="3" borderId="2" xfId="0" applyFont="1" applyFill="1" applyBorder="1" applyAlignment="1">
      <alignment horizontal="center" vertical="center"/>
    </xf>
    <xf numFmtId="0" fontId="1" fillId="3" borderId="1" xfId="0" applyFont="1" applyFill="1" applyBorder="1" applyAlignment="1">
      <alignment horizontal="center" vertical="center"/>
    </xf>
    <xf numFmtId="0" fontId="1" fillId="3" borderId="22" xfId="0" applyFont="1" applyFill="1" applyBorder="1" applyAlignment="1">
      <alignment horizontal="center" vertical="center"/>
    </xf>
    <xf numFmtId="0" fontId="1" fillId="6" borderId="9" xfId="0" applyFont="1" applyFill="1" applyBorder="1" applyAlignment="1">
      <alignment horizontal="center" vertical="center" wrapText="1"/>
    </xf>
    <xf numFmtId="0" fontId="1" fillId="6" borderId="1" xfId="0" applyFont="1" applyFill="1" applyBorder="1" applyAlignment="1">
      <alignment horizontal="center" vertical="center" wrapText="1"/>
    </xf>
    <xf numFmtId="0" fontId="1" fillId="6" borderId="22" xfId="0" applyFont="1" applyFill="1" applyBorder="1" applyAlignment="1">
      <alignment horizontal="center" vertical="center" wrapText="1"/>
    </xf>
    <xf numFmtId="0" fontId="1" fillId="3" borderId="55" xfId="0" applyFont="1" applyFill="1" applyBorder="1" applyAlignment="1">
      <alignment horizontal="center" wrapText="1"/>
    </xf>
    <xf numFmtId="0" fontId="1" fillId="3" borderId="25" xfId="0" applyFont="1" applyFill="1" applyBorder="1" applyAlignment="1">
      <alignment horizontal="center" wrapText="1"/>
    </xf>
    <xf numFmtId="0" fontId="1" fillId="3" borderId="56" xfId="0" applyFont="1" applyFill="1" applyBorder="1" applyAlignment="1">
      <alignment horizontal="center" wrapText="1"/>
    </xf>
    <xf numFmtId="0" fontId="2" fillId="0" borderId="47" xfId="0" applyFont="1" applyBorder="1" applyAlignment="1">
      <alignment horizontal="center"/>
    </xf>
    <xf numFmtId="0" fontId="2" fillId="0" borderId="64" xfId="0" applyFont="1" applyBorder="1" applyAlignment="1">
      <alignment horizontal="center"/>
    </xf>
    <xf numFmtId="0" fontId="2" fillId="0" borderId="9" xfId="0" applyFont="1" applyBorder="1" applyAlignment="1">
      <alignment horizontal="center"/>
    </xf>
    <xf numFmtId="0" fontId="2" fillId="0" borderId="0" xfId="0" applyFont="1" applyAlignment="1">
      <alignment horizontal="center"/>
    </xf>
    <xf numFmtId="0" fontId="1" fillId="0" borderId="3" xfId="0" applyFont="1" applyBorder="1" applyAlignment="1">
      <alignment horizontal="center"/>
    </xf>
    <xf numFmtId="0" fontId="1" fillId="0" borderId="32" xfId="0" applyFont="1" applyBorder="1" applyAlignment="1">
      <alignment horizontal="center"/>
    </xf>
    <xf numFmtId="0" fontId="1" fillId="0" borderId="33" xfId="0" applyFont="1" applyBorder="1" applyAlignment="1">
      <alignment horizontal="center"/>
    </xf>
    <xf numFmtId="0" fontId="6" fillId="0" borderId="42" xfId="0" applyFont="1" applyBorder="1" applyAlignment="1">
      <alignment horizontal="left"/>
    </xf>
    <xf numFmtId="0" fontId="6" fillId="0" borderId="25" xfId="0" applyFont="1" applyBorder="1" applyAlignment="1">
      <alignment horizontal="left"/>
    </xf>
    <xf numFmtId="0" fontId="6" fillId="0" borderId="16" xfId="0" applyFont="1" applyBorder="1" applyAlignment="1">
      <alignment horizontal="left"/>
    </xf>
    <xf numFmtId="0" fontId="2" fillId="0" borderId="0" xfId="0" applyFont="1" applyBorder="1" applyAlignment="1">
      <alignment horizontal="center"/>
    </xf>
    <xf numFmtId="0" fontId="0" fillId="0" borderId="0" xfId="0" applyAlignment="1">
      <alignment horizontal="left" vertical="top"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9"/>
  <sheetViews>
    <sheetView zoomScaleNormal="100" zoomScaleSheetLayoutView="80" workbookViewId="0">
      <selection activeCell="K5" sqref="K5"/>
    </sheetView>
  </sheetViews>
  <sheetFormatPr defaultRowHeight="15" x14ac:dyDescent="0.25"/>
  <cols>
    <col min="1" max="1" width="3.5703125" customWidth="1"/>
    <col min="2" max="2" width="29.85546875" customWidth="1"/>
    <col min="3" max="5" width="17.140625" customWidth="1"/>
    <col min="6" max="6" width="16.140625" customWidth="1"/>
    <col min="7" max="7" width="5" customWidth="1"/>
    <col min="8" max="9" width="8.85546875" style="104"/>
    <col min="10" max="10" width="13.42578125" style="104" bestFit="1" customWidth="1"/>
    <col min="11" max="11" width="23.140625" bestFit="1" customWidth="1"/>
  </cols>
  <sheetData>
    <row r="1" spans="2:10" ht="9.6" customHeight="1" x14ac:dyDescent="0.25"/>
    <row r="2" spans="2:10" x14ac:dyDescent="0.25">
      <c r="B2" t="s">
        <v>109</v>
      </c>
      <c r="C2" s="25" t="s">
        <v>146</v>
      </c>
    </row>
    <row r="3" spans="2:10" ht="44.45" customHeight="1" thickBot="1" x14ac:dyDescent="0.4">
      <c r="B3" s="146" t="s">
        <v>143</v>
      </c>
      <c r="C3" s="147"/>
      <c r="D3" s="147"/>
      <c r="E3" s="147"/>
      <c r="F3" s="147"/>
    </row>
    <row r="4" spans="2:10" ht="46.35" customHeight="1" thickBot="1" x14ac:dyDescent="0.4">
      <c r="B4" s="12"/>
      <c r="C4" s="29" t="s">
        <v>102</v>
      </c>
      <c r="D4" s="17" t="s">
        <v>32</v>
      </c>
      <c r="E4" s="22" t="s">
        <v>122</v>
      </c>
      <c r="F4" s="21" t="s">
        <v>120</v>
      </c>
    </row>
    <row r="5" spans="2:10" s="134" customFormat="1" ht="33" customHeight="1" thickTop="1" thickBot="1" x14ac:dyDescent="0.3">
      <c r="B5" s="137" t="s">
        <v>108</v>
      </c>
      <c r="C5" s="138" t="s">
        <v>145</v>
      </c>
      <c r="D5" s="139" t="s">
        <v>25</v>
      </c>
      <c r="E5" s="140"/>
      <c r="F5" s="141"/>
      <c r="H5" s="142"/>
      <c r="I5" s="142"/>
      <c r="J5" s="143"/>
    </row>
    <row r="6" spans="2:10" ht="15.75" thickTop="1" x14ac:dyDescent="0.25">
      <c r="B6" s="13" t="s">
        <v>5</v>
      </c>
      <c r="C6" s="10">
        <v>0</v>
      </c>
      <c r="D6" s="18" t="s">
        <v>24</v>
      </c>
      <c r="E6" s="23">
        <v>0</v>
      </c>
      <c r="F6" s="26">
        <f>C6+E6</f>
        <v>0</v>
      </c>
    </row>
    <row r="7" spans="2:10" x14ac:dyDescent="0.25">
      <c r="B7" s="14" t="s">
        <v>8</v>
      </c>
      <c r="C7" s="11">
        <v>0</v>
      </c>
      <c r="D7" s="19" t="s">
        <v>24</v>
      </c>
      <c r="E7" s="24">
        <v>2</v>
      </c>
      <c r="F7" s="26">
        <f>C7+E7</f>
        <v>2</v>
      </c>
    </row>
    <row r="8" spans="2:10" x14ac:dyDescent="0.25">
      <c r="B8" s="15" t="s">
        <v>107</v>
      </c>
      <c r="C8" s="11">
        <v>0</v>
      </c>
      <c r="D8" s="20">
        <v>0</v>
      </c>
      <c r="E8" s="24">
        <v>5</v>
      </c>
      <c r="F8" s="27">
        <f>C8+D8+E8</f>
        <v>5</v>
      </c>
    </row>
    <row r="9" spans="2:10" x14ac:dyDescent="0.25">
      <c r="B9" s="15" t="s">
        <v>10</v>
      </c>
      <c r="C9" s="11">
        <v>0</v>
      </c>
      <c r="D9" s="20">
        <v>118</v>
      </c>
      <c r="E9" s="24">
        <v>0</v>
      </c>
      <c r="F9" s="27">
        <v>118</v>
      </c>
    </row>
    <row r="10" spans="2:10" x14ac:dyDescent="0.25">
      <c r="B10" s="15" t="s">
        <v>11</v>
      </c>
      <c r="C10" s="11">
        <v>8</v>
      </c>
      <c r="D10" s="19" t="s">
        <v>24</v>
      </c>
      <c r="E10" s="24">
        <v>0</v>
      </c>
      <c r="F10" s="26">
        <f>C10+E10</f>
        <v>8</v>
      </c>
    </row>
    <row r="11" spans="2:10" x14ac:dyDescent="0.25">
      <c r="B11" s="15" t="s">
        <v>12</v>
      </c>
      <c r="C11" s="11">
        <f>86+52</f>
        <v>138</v>
      </c>
      <c r="D11" s="20">
        <v>92</v>
      </c>
      <c r="E11" s="24">
        <v>4</v>
      </c>
      <c r="F11" s="27">
        <f>C11+D11+E11</f>
        <v>234</v>
      </c>
    </row>
    <row r="12" spans="2:10" x14ac:dyDescent="0.25">
      <c r="B12" s="15" t="s">
        <v>13</v>
      </c>
      <c r="C12" s="11">
        <v>0</v>
      </c>
      <c r="D12" s="19" t="s">
        <v>24</v>
      </c>
      <c r="E12" s="24">
        <v>4</v>
      </c>
      <c r="F12" s="26">
        <f t="shared" ref="F12:F17" si="0">C12+E12</f>
        <v>4</v>
      </c>
    </row>
    <row r="13" spans="2:10" x14ac:dyDescent="0.25">
      <c r="B13" s="15" t="s">
        <v>17</v>
      </c>
      <c r="C13" s="11">
        <v>15</v>
      </c>
      <c r="D13" s="19" t="s">
        <v>24</v>
      </c>
      <c r="E13" s="24">
        <v>0</v>
      </c>
      <c r="F13" s="26">
        <f t="shared" si="0"/>
        <v>15</v>
      </c>
    </row>
    <row r="14" spans="2:10" x14ac:dyDescent="0.25">
      <c r="B14" s="15" t="s">
        <v>14</v>
      </c>
      <c r="C14" s="11">
        <v>6</v>
      </c>
      <c r="D14" s="19" t="s">
        <v>24</v>
      </c>
      <c r="E14" s="24">
        <v>0</v>
      </c>
      <c r="F14" s="26">
        <f t="shared" si="0"/>
        <v>6</v>
      </c>
    </row>
    <row r="15" spans="2:10" x14ac:dyDescent="0.25">
      <c r="B15" s="15" t="s">
        <v>6</v>
      </c>
      <c r="C15" s="11">
        <v>235</v>
      </c>
      <c r="D15" s="19" t="s">
        <v>24</v>
      </c>
      <c r="E15" s="24">
        <v>0</v>
      </c>
      <c r="F15" s="26">
        <f t="shared" si="0"/>
        <v>235</v>
      </c>
    </row>
    <row r="16" spans="2:10" x14ac:dyDescent="0.25">
      <c r="B16" s="15" t="s">
        <v>7</v>
      </c>
      <c r="C16" s="11">
        <v>337</v>
      </c>
      <c r="D16" s="19" t="s">
        <v>24</v>
      </c>
      <c r="E16" s="24">
        <v>2</v>
      </c>
      <c r="F16" s="26">
        <f t="shared" si="0"/>
        <v>339</v>
      </c>
    </row>
    <row r="17" spans="2:10" ht="15.75" thickBot="1" x14ac:dyDescent="0.3">
      <c r="B17" s="122" t="s">
        <v>18</v>
      </c>
      <c r="C17" s="123">
        <v>1</v>
      </c>
      <c r="D17" s="124" t="s">
        <v>24</v>
      </c>
      <c r="E17" s="125">
        <v>0</v>
      </c>
      <c r="F17" s="126">
        <f t="shared" si="0"/>
        <v>1</v>
      </c>
      <c r="J17" s="4"/>
    </row>
    <row r="18" spans="2:10" ht="16.5" thickTop="1" thickBot="1" x14ac:dyDescent="0.3">
      <c r="B18" s="119" t="s">
        <v>26</v>
      </c>
      <c r="C18" s="120">
        <f t="shared" ref="C18:F18" si="1">SUM(C6:C17)</f>
        <v>740</v>
      </c>
      <c r="D18" s="121">
        <f t="shared" si="1"/>
        <v>210</v>
      </c>
      <c r="E18" s="121">
        <f t="shared" si="1"/>
        <v>17</v>
      </c>
      <c r="F18" s="121">
        <f t="shared" si="1"/>
        <v>967</v>
      </c>
      <c r="J18" s="114"/>
    </row>
    <row r="19" spans="2:10" ht="16.7" customHeight="1" x14ac:dyDescent="0.25">
      <c r="B19" s="4" t="s">
        <v>27</v>
      </c>
      <c r="C19" s="5"/>
      <c r="F19" s="28"/>
      <c r="J19" s="114"/>
    </row>
    <row r="20" spans="2:10" ht="30.6" customHeight="1" x14ac:dyDescent="0.25">
      <c r="B20" s="144" t="s">
        <v>110</v>
      </c>
      <c r="C20" s="144"/>
      <c r="D20" s="144"/>
      <c r="E20" s="144"/>
      <c r="F20" s="144"/>
      <c r="J20" s="114"/>
    </row>
    <row r="21" spans="2:10" ht="19.350000000000001" customHeight="1" x14ac:dyDescent="0.25">
      <c r="B21" s="144" t="s">
        <v>140</v>
      </c>
      <c r="C21" s="144"/>
      <c r="D21" s="144"/>
      <c r="E21" s="144"/>
      <c r="F21" s="144"/>
      <c r="J21" s="114"/>
    </row>
    <row r="22" spans="2:10" ht="46.7" customHeight="1" x14ac:dyDescent="0.25">
      <c r="B22" s="144" t="s">
        <v>141</v>
      </c>
      <c r="C22" s="144"/>
      <c r="D22" s="144"/>
      <c r="E22" s="144"/>
      <c r="F22" s="144"/>
      <c r="J22" s="114"/>
    </row>
    <row r="23" spans="2:10" ht="31.7" customHeight="1" x14ac:dyDescent="0.25">
      <c r="B23" s="144" t="s">
        <v>142</v>
      </c>
      <c r="C23" s="144"/>
      <c r="D23" s="144"/>
      <c r="E23" s="144"/>
      <c r="F23" s="144"/>
      <c r="J23" s="114"/>
    </row>
    <row r="24" spans="2:10" ht="46.35" customHeight="1" x14ac:dyDescent="0.25">
      <c r="B24" s="145" t="s">
        <v>121</v>
      </c>
      <c r="C24" s="145"/>
      <c r="D24" s="145"/>
      <c r="E24" s="145"/>
      <c r="F24" s="145"/>
      <c r="J24" s="114"/>
    </row>
    <row r="25" spans="2:10" ht="31.7" customHeight="1" x14ac:dyDescent="0.25">
      <c r="B25" s="148" t="s">
        <v>106</v>
      </c>
      <c r="C25" s="148"/>
      <c r="D25" s="148"/>
      <c r="E25" s="148"/>
      <c r="F25" s="148"/>
      <c r="J25" s="114"/>
    </row>
    <row r="26" spans="2:10" ht="18.600000000000001" customHeight="1" x14ac:dyDescent="0.25">
      <c r="B26" s="144" t="s">
        <v>103</v>
      </c>
      <c r="C26" s="144"/>
      <c r="D26" s="144"/>
      <c r="E26" s="144"/>
      <c r="F26" s="144"/>
      <c r="J26" s="114"/>
    </row>
    <row r="27" spans="2:10" ht="31.35" customHeight="1" x14ac:dyDescent="0.25">
      <c r="B27" s="144" t="s">
        <v>104</v>
      </c>
      <c r="C27" s="144"/>
      <c r="D27" s="144"/>
      <c r="E27" s="144"/>
      <c r="F27" s="144"/>
      <c r="J27" s="114"/>
    </row>
    <row r="28" spans="2:10" ht="18.600000000000001" customHeight="1" x14ac:dyDescent="0.25">
      <c r="B28" s="144" t="s">
        <v>105</v>
      </c>
      <c r="C28" s="144"/>
      <c r="D28" s="144"/>
      <c r="E28" s="144"/>
      <c r="F28" s="144"/>
      <c r="J28" s="114"/>
    </row>
    <row r="29" spans="2:10" ht="18.600000000000001" customHeight="1" x14ac:dyDescent="0.25">
      <c r="C29" s="5"/>
      <c r="F29" s="104"/>
      <c r="J29" s="114"/>
    </row>
  </sheetData>
  <mergeCells count="10">
    <mergeCell ref="B28:F28"/>
    <mergeCell ref="B21:F21"/>
    <mergeCell ref="B24:F24"/>
    <mergeCell ref="B3:F3"/>
    <mergeCell ref="B20:F20"/>
    <mergeCell ref="B22:F22"/>
    <mergeCell ref="B23:F23"/>
    <mergeCell ref="B25:F25"/>
    <mergeCell ref="B26:F26"/>
    <mergeCell ref="B27:F27"/>
  </mergeCells>
  <pageMargins left="0.7" right="0.7" top="0.75" bottom="0.75" header="0.3" footer="0.3"/>
  <pageSetup scale="85" orientation="portrait" horizontalDpi="1200" verticalDpi="1200" r:id="rId1"/>
  <headerFooter>
    <oddFooter>&amp;F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2"/>
  <sheetViews>
    <sheetView zoomScaleNormal="100" workbookViewId="0">
      <selection activeCell="A34" sqref="A34"/>
    </sheetView>
  </sheetViews>
  <sheetFormatPr defaultRowHeight="15" x14ac:dyDescent="0.25"/>
  <cols>
    <col min="1" max="1" width="27.42578125" customWidth="1"/>
    <col min="2" max="3" width="13.5703125" customWidth="1"/>
    <col min="4" max="4" width="3" customWidth="1"/>
    <col min="7" max="7" width="10.42578125" customWidth="1"/>
    <col min="8" max="8" width="8.42578125" customWidth="1"/>
    <col min="10" max="10" width="3.42578125" customWidth="1"/>
    <col min="11" max="11" width="12.140625" customWidth="1"/>
    <col min="12" max="12" width="12.85546875" customWidth="1"/>
    <col min="13" max="13" width="13.42578125" customWidth="1"/>
    <col min="14" max="15" width="10.140625" customWidth="1"/>
    <col min="16" max="16" width="6.42578125" customWidth="1"/>
  </cols>
  <sheetData>
    <row r="1" spans="1:9" ht="23.25" x14ac:dyDescent="0.35">
      <c r="A1" s="1" t="s">
        <v>129</v>
      </c>
    </row>
    <row r="2" spans="1:9" x14ac:dyDescent="0.25">
      <c r="A2" s="25" t="s">
        <v>40</v>
      </c>
    </row>
    <row r="3" spans="1:9" x14ac:dyDescent="0.25">
      <c r="A3" s="149" t="s">
        <v>41</v>
      </c>
      <c r="B3" t="s">
        <v>42</v>
      </c>
    </row>
    <row r="4" spans="1:9" x14ac:dyDescent="0.25">
      <c r="A4" s="149"/>
      <c r="B4" s="38" t="s">
        <v>43</v>
      </c>
      <c r="C4" s="38" t="s">
        <v>44</v>
      </c>
      <c r="E4" s="2" t="s">
        <v>30</v>
      </c>
      <c r="F4" s="39" t="s">
        <v>45</v>
      </c>
      <c r="H4" t="s">
        <v>46</v>
      </c>
    </row>
    <row r="5" spans="1:9" x14ac:dyDescent="0.25">
      <c r="A5" s="2">
        <v>8</v>
      </c>
      <c r="B5" s="2">
        <v>1354</v>
      </c>
      <c r="C5" s="2">
        <v>482</v>
      </c>
      <c r="D5" s="2"/>
      <c r="E5" s="2">
        <f>B5+C5</f>
        <v>1836</v>
      </c>
      <c r="F5" s="8">
        <f>E5/18</f>
        <v>102</v>
      </c>
      <c r="G5" s="2"/>
      <c r="H5" s="40">
        <f>E5/5847</f>
        <v>0.31400718317085685</v>
      </c>
    </row>
    <row r="7" spans="1:9" ht="15" customHeight="1" x14ac:dyDescent="0.25">
      <c r="A7" s="41" t="s">
        <v>47</v>
      </c>
      <c r="B7" s="42" t="s">
        <v>48</v>
      </c>
      <c r="C7" s="41" t="s">
        <v>49</v>
      </c>
      <c r="D7" s="43"/>
      <c r="E7" t="s">
        <v>50</v>
      </c>
      <c r="F7" s="44" t="s">
        <v>37</v>
      </c>
      <c r="G7" s="45">
        <f>E17/E5</f>
        <v>0.59531590413943358</v>
      </c>
    </row>
    <row r="8" spans="1:9" x14ac:dyDescent="0.25">
      <c r="A8" s="41" t="s">
        <v>117</v>
      </c>
      <c r="B8" s="46">
        <f>F5*G8</f>
        <v>34.888888888888886</v>
      </c>
      <c r="C8" s="46">
        <f>B8*20</f>
        <v>697.77777777777771</v>
      </c>
      <c r="D8" s="43"/>
      <c r="F8" s="44" t="s">
        <v>29</v>
      </c>
      <c r="G8" s="45">
        <f>E18/E5</f>
        <v>0.34204793028322439</v>
      </c>
    </row>
    <row r="11" spans="1:9" x14ac:dyDescent="0.25">
      <c r="A11" s="47" t="s">
        <v>51</v>
      </c>
      <c r="B11" s="34" t="s">
        <v>43</v>
      </c>
      <c r="C11" s="34" t="s">
        <v>44</v>
      </c>
      <c r="D11" s="47"/>
      <c r="E11" s="34" t="s">
        <v>30</v>
      </c>
      <c r="G11" s="2" t="s">
        <v>52</v>
      </c>
      <c r="H11" t="s">
        <v>53</v>
      </c>
      <c r="I11" t="s">
        <v>54</v>
      </c>
    </row>
    <row r="12" spans="1:9" x14ac:dyDescent="0.25">
      <c r="A12" s="47" t="s">
        <v>30</v>
      </c>
      <c r="B12" s="34">
        <v>1354</v>
      </c>
      <c r="C12" s="34">
        <v>482</v>
      </c>
      <c r="D12" s="47"/>
      <c r="E12" s="34">
        <f t="shared" ref="E12:E14" si="0">B12+C12</f>
        <v>1836</v>
      </c>
      <c r="G12" s="2" t="s">
        <v>47</v>
      </c>
      <c r="H12" s="2">
        <v>2</v>
      </c>
      <c r="I12" s="37">
        <v>1.2004801920768306E-3</v>
      </c>
    </row>
    <row r="13" spans="1:9" x14ac:dyDescent="0.25">
      <c r="A13" s="47" t="s">
        <v>55</v>
      </c>
      <c r="B13" s="34">
        <v>1226</v>
      </c>
      <c r="C13" s="34">
        <v>422</v>
      </c>
      <c r="D13" s="47"/>
      <c r="E13" s="34">
        <f t="shared" si="0"/>
        <v>1648</v>
      </c>
    </row>
    <row r="14" spans="1:9" x14ac:dyDescent="0.25">
      <c r="A14" s="47" t="s">
        <v>56</v>
      </c>
      <c r="B14" s="34">
        <v>128</v>
      </c>
      <c r="C14" s="34">
        <v>60</v>
      </c>
      <c r="D14" s="47"/>
      <c r="E14" s="34">
        <f t="shared" si="0"/>
        <v>188</v>
      </c>
      <c r="G14" s="2" t="s">
        <v>57</v>
      </c>
      <c r="H14" s="2" t="s">
        <v>53</v>
      </c>
      <c r="I14" t="s">
        <v>54</v>
      </c>
    </row>
    <row r="15" spans="1:9" x14ac:dyDescent="0.25">
      <c r="B15" s="2"/>
      <c r="C15" s="2"/>
      <c r="E15" s="2"/>
      <c r="G15" s="2" t="s">
        <v>47</v>
      </c>
      <c r="H15" s="2">
        <v>1</v>
      </c>
      <c r="I15" s="37">
        <v>6.0024009603841532E-4</v>
      </c>
    </row>
    <row r="16" spans="1:9" x14ac:dyDescent="0.25">
      <c r="A16" s="47" t="s">
        <v>58</v>
      </c>
      <c r="B16" s="48" t="s">
        <v>59</v>
      </c>
      <c r="C16" s="34"/>
      <c r="D16" s="47"/>
      <c r="E16" s="34"/>
    </row>
    <row r="17" spans="1:12" x14ac:dyDescent="0.25">
      <c r="A17" s="47" t="s">
        <v>60</v>
      </c>
      <c r="B17" s="34">
        <v>843</v>
      </c>
      <c r="C17" s="34">
        <v>250</v>
      </c>
      <c r="D17" s="47"/>
      <c r="E17" s="34">
        <f>B17+C17</f>
        <v>1093</v>
      </c>
    </row>
    <row r="18" spans="1:12" x14ac:dyDescent="0.25">
      <c r="A18" s="47" t="s">
        <v>123</v>
      </c>
      <c r="B18" s="34">
        <v>498</v>
      </c>
      <c r="C18" s="34">
        <v>130</v>
      </c>
      <c r="D18" s="47"/>
      <c r="E18" s="34">
        <f>B18+C18</f>
        <v>628</v>
      </c>
    </row>
    <row r="19" spans="1:12" x14ac:dyDescent="0.25">
      <c r="A19" s="47" t="s">
        <v>61</v>
      </c>
      <c r="B19" s="34">
        <v>13</v>
      </c>
      <c r="C19" s="34">
        <v>102</v>
      </c>
      <c r="D19" s="47"/>
      <c r="E19" s="34">
        <f>B19+C19</f>
        <v>115</v>
      </c>
    </row>
    <row r="20" spans="1:12" x14ac:dyDescent="0.25">
      <c r="A20" s="47" t="s">
        <v>30</v>
      </c>
      <c r="B20" s="34">
        <f>SUM(B17:B19)</f>
        <v>1354</v>
      </c>
      <c r="C20" s="34">
        <f>SUM(C17:C19)</f>
        <v>482</v>
      </c>
      <c r="D20" s="47"/>
      <c r="E20" s="34">
        <f>B20+C20</f>
        <v>1836</v>
      </c>
    </row>
    <row r="21" spans="1:12" x14ac:dyDescent="0.25">
      <c r="B21" s="2"/>
      <c r="C21" s="2"/>
      <c r="E21" s="2"/>
    </row>
    <row r="22" spans="1:12" x14ac:dyDescent="0.25">
      <c r="A22" t="s">
        <v>62</v>
      </c>
      <c r="B22" s="2"/>
      <c r="C22" s="2"/>
      <c r="E22" s="2"/>
    </row>
    <row r="23" spans="1:12" x14ac:dyDescent="0.25">
      <c r="A23" t="s">
        <v>63</v>
      </c>
      <c r="B23" s="2">
        <f>B18</f>
        <v>498</v>
      </c>
      <c r="C23" s="2">
        <f>C18</f>
        <v>130</v>
      </c>
      <c r="E23" s="2">
        <f t="shared" ref="E23" si="1">B23+C23</f>
        <v>628</v>
      </c>
    </row>
    <row r="24" spans="1:12" x14ac:dyDescent="0.25">
      <c r="B24" s="2"/>
      <c r="C24" s="2"/>
      <c r="E24" s="2"/>
    </row>
    <row r="25" spans="1:12" x14ac:dyDescent="0.25">
      <c r="A25" t="s">
        <v>64</v>
      </c>
      <c r="B25" s="37">
        <f>B19/B12</f>
        <v>9.6011816838995571E-3</v>
      </c>
      <c r="C25" s="37">
        <f>C19/C12</f>
        <v>0.21161825726141079</v>
      </c>
      <c r="E25" s="37">
        <f>E19/E12</f>
        <v>6.2636165577342043E-2</v>
      </c>
    </row>
    <row r="27" spans="1:12" x14ac:dyDescent="0.25">
      <c r="A27" t="s">
        <v>65</v>
      </c>
    </row>
    <row r="29" spans="1:12" ht="23.25" x14ac:dyDescent="0.35">
      <c r="A29" s="1" t="s">
        <v>0</v>
      </c>
    </row>
    <row r="30" spans="1:12" x14ac:dyDescent="0.25">
      <c r="A30" t="s">
        <v>66</v>
      </c>
      <c r="B30" t="s">
        <v>67</v>
      </c>
    </row>
    <row r="31" spans="1:12" x14ac:dyDescent="0.25">
      <c r="K31" s="56" t="s">
        <v>75</v>
      </c>
      <c r="L31" s="56"/>
    </row>
    <row r="32" spans="1:12" x14ac:dyDescent="0.25">
      <c r="A32" t="s">
        <v>33</v>
      </c>
      <c r="B32" s="2">
        <f>E5</f>
        <v>1836</v>
      </c>
      <c r="K32" s="50" t="s">
        <v>68</v>
      </c>
      <c r="L32" s="51">
        <f>B32/18</f>
        <v>102</v>
      </c>
    </row>
    <row r="33" spans="1:17" x14ac:dyDescent="0.25">
      <c r="E33" t="s">
        <v>34</v>
      </c>
      <c r="P33" s="102"/>
    </row>
    <row r="34" spans="1:17" ht="60.75" thickBot="1" x14ac:dyDescent="0.3">
      <c r="A34" s="135" t="s">
        <v>153</v>
      </c>
      <c r="B34" s="135" t="s">
        <v>35</v>
      </c>
      <c r="C34" s="31" t="s">
        <v>36</v>
      </c>
      <c r="E34" s="30" t="s">
        <v>125</v>
      </c>
      <c r="F34" s="30" t="s">
        <v>124</v>
      </c>
      <c r="G34" s="30" t="s">
        <v>31</v>
      </c>
      <c r="H34" s="30" t="s">
        <v>127</v>
      </c>
      <c r="I34" s="30" t="s">
        <v>126</v>
      </c>
      <c r="K34" s="52" t="s">
        <v>119</v>
      </c>
      <c r="L34" s="52" t="s">
        <v>118</v>
      </c>
      <c r="M34" s="52" t="s">
        <v>69</v>
      </c>
      <c r="N34" s="52" t="s">
        <v>70</v>
      </c>
      <c r="O34" s="52" t="s">
        <v>112</v>
      </c>
      <c r="P34" s="103"/>
      <c r="Q34" s="104"/>
    </row>
    <row r="35" spans="1:17" ht="30" customHeight="1" thickTop="1" x14ac:dyDescent="0.25">
      <c r="A35" s="128" t="s">
        <v>150</v>
      </c>
      <c r="B35" s="32">
        <f>356+4</f>
        <v>360</v>
      </c>
      <c r="C35" s="33">
        <f>B35/E$5</f>
        <v>0.19607843137254902</v>
      </c>
      <c r="E35" s="32">
        <f>269+2</f>
        <v>271</v>
      </c>
      <c r="F35" s="32">
        <f>72+1</f>
        <v>73</v>
      </c>
      <c r="G35" s="32">
        <f>15+1</f>
        <v>16</v>
      </c>
      <c r="H35" s="33">
        <f>E35/B35</f>
        <v>0.75277777777777777</v>
      </c>
      <c r="I35" s="33">
        <f>F35/B35</f>
        <v>0.20277777777777778</v>
      </c>
      <c r="K35" s="53">
        <f t="shared" ref="K35:K42" si="2">$L$32*C35</f>
        <v>20</v>
      </c>
      <c r="L35" s="53">
        <f>K35*I35</f>
        <v>4.0555555555555554</v>
      </c>
      <c r="M35" s="53">
        <f>L35*1.06</f>
        <v>4.2988888888888885</v>
      </c>
      <c r="N35" s="53">
        <f>M35*20</f>
        <v>85.977777777777774</v>
      </c>
      <c r="O35" s="54">
        <v>86</v>
      </c>
      <c r="P35" s="102"/>
    </row>
    <row r="36" spans="1:17" ht="30" customHeight="1" x14ac:dyDescent="0.25">
      <c r="A36" s="128" t="s">
        <v>155</v>
      </c>
      <c r="B36" s="32">
        <v>109</v>
      </c>
      <c r="C36" s="33">
        <f t="shared" ref="C36:C42" si="3">B36/E$5</f>
        <v>5.9368191721132897E-2</v>
      </c>
      <c r="E36" s="32">
        <v>96</v>
      </c>
      <c r="F36" s="32">
        <v>7</v>
      </c>
      <c r="G36" s="32">
        <v>6</v>
      </c>
      <c r="H36" s="33">
        <f t="shared" ref="H36:H42" si="4">E36/B36</f>
        <v>0.88073394495412849</v>
      </c>
      <c r="I36" s="33">
        <f t="shared" ref="I36:I42" si="5">F36/B36</f>
        <v>6.4220183486238536E-2</v>
      </c>
      <c r="K36" s="53">
        <f t="shared" si="2"/>
        <v>6.0555555555555554</v>
      </c>
      <c r="L36" s="53">
        <f t="shared" ref="L36:L42" si="6">K36*I36</f>
        <v>0.3888888888888889</v>
      </c>
      <c r="M36" s="53">
        <f t="shared" ref="M36:M42" si="7">L36*1.06</f>
        <v>0.41222222222222227</v>
      </c>
      <c r="N36" s="53">
        <f t="shared" ref="N36:N42" si="8">M36*20</f>
        <v>8.2444444444444454</v>
      </c>
      <c r="O36" s="54">
        <v>8</v>
      </c>
      <c r="P36" s="102"/>
    </row>
    <row r="37" spans="1:17" ht="30" customHeight="1" x14ac:dyDescent="0.25">
      <c r="A37" s="128" t="s">
        <v>154</v>
      </c>
      <c r="B37" s="32">
        <f>154+2</f>
        <v>156</v>
      </c>
      <c r="C37" s="33">
        <f t="shared" si="3"/>
        <v>8.4967320261437912E-2</v>
      </c>
      <c r="E37" s="32">
        <f>104+1</f>
        <v>105</v>
      </c>
      <c r="F37" s="32">
        <f>43+1</f>
        <v>44</v>
      </c>
      <c r="G37" s="32">
        <v>7</v>
      </c>
      <c r="H37" s="33">
        <f t="shared" si="4"/>
        <v>0.67307692307692313</v>
      </c>
      <c r="I37" s="33">
        <f t="shared" si="5"/>
        <v>0.28205128205128205</v>
      </c>
      <c r="K37" s="53">
        <f t="shared" si="2"/>
        <v>8.6666666666666679</v>
      </c>
      <c r="L37" s="53">
        <f t="shared" si="6"/>
        <v>2.4444444444444446</v>
      </c>
      <c r="M37" s="53">
        <f t="shared" si="7"/>
        <v>2.5911111111111116</v>
      </c>
      <c r="N37" s="53">
        <f t="shared" si="8"/>
        <v>51.82222222222223</v>
      </c>
      <c r="O37" s="54">
        <v>52</v>
      </c>
      <c r="P37" s="102"/>
    </row>
    <row r="38" spans="1:17" ht="30" customHeight="1" x14ac:dyDescent="0.25">
      <c r="A38" s="128" t="s">
        <v>151</v>
      </c>
      <c r="B38" s="32">
        <v>5</v>
      </c>
      <c r="C38" s="33">
        <f t="shared" si="3"/>
        <v>2.7233115468409588E-3</v>
      </c>
      <c r="E38" s="32">
        <v>0</v>
      </c>
      <c r="F38" s="32">
        <v>5</v>
      </c>
      <c r="G38" s="32">
        <v>0</v>
      </c>
      <c r="H38" s="33">
        <f t="shared" si="4"/>
        <v>0</v>
      </c>
      <c r="I38" s="33">
        <f t="shared" si="5"/>
        <v>1</v>
      </c>
      <c r="K38" s="53">
        <f t="shared" si="2"/>
        <v>0.27777777777777779</v>
      </c>
      <c r="L38" s="53">
        <f t="shared" si="6"/>
        <v>0.27777777777777779</v>
      </c>
      <c r="M38" s="53">
        <f t="shared" si="7"/>
        <v>0.29444444444444445</v>
      </c>
      <c r="N38" s="53">
        <f t="shared" si="8"/>
        <v>5.8888888888888893</v>
      </c>
      <c r="O38" s="54">
        <v>6</v>
      </c>
      <c r="P38" s="102"/>
    </row>
    <row r="39" spans="1:17" ht="30" customHeight="1" x14ac:dyDescent="0.25">
      <c r="A39" s="128" t="s">
        <v>1</v>
      </c>
      <c r="B39" s="32">
        <f>361+6</f>
        <v>367</v>
      </c>
      <c r="C39" s="33">
        <f t="shared" si="3"/>
        <v>0.19989106753812635</v>
      </c>
      <c r="E39" s="32">
        <f>142+2</f>
        <v>144</v>
      </c>
      <c r="F39" s="32">
        <f>196+3</f>
        <v>199</v>
      </c>
      <c r="G39" s="32">
        <f>23+1</f>
        <v>24</v>
      </c>
      <c r="H39" s="33">
        <f>E39/B39</f>
        <v>0.39237057220708449</v>
      </c>
      <c r="I39" s="33">
        <f t="shared" si="5"/>
        <v>0.54223433242506813</v>
      </c>
      <c r="K39" s="53">
        <f t="shared" si="2"/>
        <v>20.388888888888889</v>
      </c>
      <c r="L39" s="53">
        <f t="shared" si="6"/>
        <v>11.055555555555555</v>
      </c>
      <c r="M39" s="53">
        <f t="shared" si="7"/>
        <v>11.718888888888889</v>
      </c>
      <c r="N39" s="53">
        <f t="shared" si="8"/>
        <v>234.37777777777779</v>
      </c>
      <c r="O39" s="54">
        <v>235</v>
      </c>
      <c r="P39" s="102"/>
    </row>
    <row r="40" spans="1:17" ht="30" customHeight="1" x14ac:dyDescent="0.25">
      <c r="A40" s="128" t="s">
        <v>152</v>
      </c>
      <c r="B40" s="32">
        <v>134</v>
      </c>
      <c r="C40" s="33">
        <f t="shared" si="3"/>
        <v>7.2984749455337686E-2</v>
      </c>
      <c r="E40" s="32">
        <v>113</v>
      </c>
      <c r="F40" s="32">
        <v>13</v>
      </c>
      <c r="G40" s="32">
        <v>8</v>
      </c>
      <c r="H40" s="33">
        <f t="shared" si="4"/>
        <v>0.84328358208955223</v>
      </c>
      <c r="I40" s="33">
        <f t="shared" si="5"/>
        <v>9.7014925373134331E-2</v>
      </c>
      <c r="K40" s="53">
        <f t="shared" si="2"/>
        <v>7.4444444444444438</v>
      </c>
      <c r="L40" s="53">
        <f t="shared" si="6"/>
        <v>0.72222222222222221</v>
      </c>
      <c r="M40" s="53">
        <f t="shared" si="7"/>
        <v>0.76555555555555554</v>
      </c>
      <c r="N40" s="53">
        <f t="shared" si="8"/>
        <v>15.31111111111111</v>
      </c>
      <c r="O40" s="54">
        <v>15</v>
      </c>
      <c r="P40" s="102"/>
    </row>
    <row r="41" spans="1:17" ht="30" customHeight="1" x14ac:dyDescent="0.25">
      <c r="A41" s="128" t="s">
        <v>2</v>
      </c>
      <c r="B41" s="32">
        <v>701</v>
      </c>
      <c r="C41" s="33">
        <f t="shared" si="3"/>
        <v>0.38180827886710239</v>
      </c>
      <c r="E41" s="32">
        <v>361</v>
      </c>
      <c r="F41" s="32">
        <v>286</v>
      </c>
      <c r="G41" s="32">
        <v>54</v>
      </c>
      <c r="H41" s="33">
        <f t="shared" si="4"/>
        <v>0.51497860199714696</v>
      </c>
      <c r="I41" s="33">
        <f t="shared" si="5"/>
        <v>0.40798858773181168</v>
      </c>
      <c r="K41" s="53">
        <f t="shared" si="2"/>
        <v>38.944444444444443</v>
      </c>
      <c r="L41" s="53">
        <f t="shared" si="6"/>
        <v>15.888888888888888</v>
      </c>
      <c r="M41" s="53">
        <f t="shared" si="7"/>
        <v>16.842222222222222</v>
      </c>
      <c r="N41" s="53">
        <f t="shared" si="8"/>
        <v>336.84444444444443</v>
      </c>
      <c r="O41" s="54">
        <v>337</v>
      </c>
      <c r="P41" s="102"/>
    </row>
    <row r="42" spans="1:17" ht="30" customHeight="1" x14ac:dyDescent="0.25">
      <c r="A42" s="128" t="s">
        <v>3</v>
      </c>
      <c r="B42" s="34">
        <v>1</v>
      </c>
      <c r="C42" s="33">
        <f t="shared" si="3"/>
        <v>5.4466230936819177E-4</v>
      </c>
      <c r="E42" s="34">
        <v>0</v>
      </c>
      <c r="F42" s="34">
        <v>1</v>
      </c>
      <c r="G42" s="34">
        <v>0</v>
      </c>
      <c r="H42" s="33">
        <f t="shared" si="4"/>
        <v>0</v>
      </c>
      <c r="I42" s="33">
        <f t="shared" si="5"/>
        <v>1</v>
      </c>
      <c r="K42" s="53">
        <f t="shared" si="2"/>
        <v>5.5555555555555559E-2</v>
      </c>
      <c r="L42" s="53">
        <f t="shared" si="6"/>
        <v>5.5555555555555559E-2</v>
      </c>
      <c r="M42" s="53">
        <f t="shared" si="7"/>
        <v>5.8888888888888893E-2</v>
      </c>
      <c r="N42" s="53">
        <f t="shared" si="8"/>
        <v>1.1777777777777778</v>
      </c>
      <c r="O42" s="54">
        <v>1</v>
      </c>
      <c r="P42" s="102"/>
    </row>
    <row r="43" spans="1:17" ht="30" customHeight="1" x14ac:dyDescent="0.25">
      <c r="A43" s="35" t="s">
        <v>4</v>
      </c>
      <c r="B43" s="35" t="s">
        <v>38</v>
      </c>
      <c r="C43" s="36">
        <f>E43/B32</f>
        <v>1.6339869281045752E-3</v>
      </c>
      <c r="E43" s="35">
        <v>3</v>
      </c>
      <c r="F43" s="35">
        <v>0</v>
      </c>
      <c r="G43" s="35">
        <v>0</v>
      </c>
      <c r="H43" s="36"/>
      <c r="I43" s="36"/>
      <c r="K43" s="5"/>
      <c r="L43" s="5"/>
      <c r="M43" s="5"/>
      <c r="N43" s="5"/>
      <c r="O43" s="5"/>
      <c r="P43" s="102"/>
    </row>
    <row r="44" spans="1:17" x14ac:dyDescent="0.25">
      <c r="A44" t="s">
        <v>30</v>
      </c>
      <c r="B44" s="2">
        <f>SUM(B35:B42)+E43</f>
        <v>1836</v>
      </c>
      <c r="C44" s="37">
        <f>SUM(C35:C42)</f>
        <v>0.99836601307189554</v>
      </c>
      <c r="E44" s="2">
        <f>SUM(E35:E42)+E43</f>
        <v>1093</v>
      </c>
      <c r="F44" s="2">
        <f>SUM(F35:F42)</f>
        <v>628</v>
      </c>
      <c r="G44" s="2">
        <f>SUM(G35:G42)</f>
        <v>115</v>
      </c>
      <c r="H44" t="s">
        <v>30</v>
      </c>
      <c r="I44" s="2">
        <f>E44+F44+G44</f>
        <v>1836</v>
      </c>
      <c r="K44" s="51">
        <f>SUM(K35:K42)</f>
        <v>101.83333333333334</v>
      </c>
      <c r="L44" s="51">
        <f>SUM(L35:L42)</f>
        <v>34.888888888888886</v>
      </c>
      <c r="M44" s="51">
        <f t="shared" ref="M44:O44" si="9">SUM(M35:M42)</f>
        <v>36.982222222222219</v>
      </c>
      <c r="N44" s="51">
        <f t="shared" si="9"/>
        <v>739.6444444444445</v>
      </c>
      <c r="O44" s="55">
        <f t="shared" si="9"/>
        <v>740</v>
      </c>
      <c r="P44" s="102"/>
    </row>
    <row r="45" spans="1:17" x14ac:dyDescent="0.25">
      <c r="A45" s="136" t="s">
        <v>39</v>
      </c>
      <c r="B45" s="104"/>
      <c r="C45" s="104"/>
      <c r="D45" s="104"/>
      <c r="E45" s="104"/>
      <c r="F45" s="104"/>
      <c r="G45" s="104"/>
    </row>
    <row r="46" spans="1:17" x14ac:dyDescent="0.25">
      <c r="A46" s="104"/>
      <c r="B46" s="104"/>
      <c r="C46" s="104"/>
      <c r="D46" s="104"/>
      <c r="E46" s="104"/>
      <c r="F46" s="104">
        <v>628</v>
      </c>
      <c r="G46" s="104">
        <v>115</v>
      </c>
    </row>
    <row r="50" spans="1:1" x14ac:dyDescent="0.25">
      <c r="A50" s="4"/>
    </row>
    <row r="51" spans="1:1" x14ac:dyDescent="0.25">
      <c r="A51" s="4"/>
    </row>
    <row r="52" spans="1:1" x14ac:dyDescent="0.25">
      <c r="A52" s="4"/>
    </row>
  </sheetData>
  <mergeCells count="1">
    <mergeCell ref="A3:A4"/>
  </mergeCells>
  <pageMargins left="0.5" right="0.5" top="0.3" bottom="0.5" header="0.3" footer="0.3"/>
  <pageSetup paperSize="5" orientation="landscape" r:id="rId1"/>
  <headerFooter>
    <oddFooter>&amp;F</oddFooter>
  </headerFooter>
  <rowBreaks count="1" manualBreakCount="1">
    <brk id="26" max="1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6"/>
  <sheetViews>
    <sheetView tabSelected="1" zoomScaleNormal="100" workbookViewId="0">
      <selection activeCell="O4" sqref="O4"/>
    </sheetView>
  </sheetViews>
  <sheetFormatPr defaultRowHeight="15" x14ac:dyDescent="0.25"/>
  <cols>
    <col min="1" max="1" width="4.85546875" customWidth="1"/>
    <col min="2" max="2" width="44.5703125" customWidth="1"/>
    <col min="4" max="4" width="10.42578125" customWidth="1"/>
    <col min="10" max="10" width="9.5703125" customWidth="1"/>
    <col min="12" max="12" width="17.85546875" customWidth="1"/>
    <col min="13" max="13" width="5.5703125" customWidth="1"/>
  </cols>
  <sheetData>
    <row r="1" spans="2:12" ht="26.45" customHeight="1" thickBot="1" x14ac:dyDescent="0.3">
      <c r="B1" s="152" t="s">
        <v>130</v>
      </c>
      <c r="C1" s="153"/>
      <c r="D1" s="153"/>
      <c r="E1" s="153"/>
      <c r="F1" s="153"/>
      <c r="G1" s="153"/>
      <c r="H1" s="153"/>
      <c r="I1" s="153"/>
      <c r="J1" s="153"/>
      <c r="K1" s="153"/>
      <c r="L1" s="154"/>
    </row>
    <row r="2" spans="2:12" ht="35.450000000000003" customHeight="1" x14ac:dyDescent="0.25">
      <c r="B2" s="155" t="s">
        <v>156</v>
      </c>
      <c r="C2" s="170" t="s">
        <v>71</v>
      </c>
      <c r="D2" s="171"/>
      <c r="E2" s="172"/>
      <c r="F2" s="157" t="s">
        <v>72</v>
      </c>
      <c r="G2" s="158"/>
      <c r="H2" s="159"/>
      <c r="I2" s="160" t="s">
        <v>158</v>
      </c>
      <c r="J2" s="161"/>
      <c r="K2" s="162"/>
      <c r="L2" s="150" t="s">
        <v>74</v>
      </c>
    </row>
    <row r="3" spans="2:12" ht="60" customHeight="1" x14ac:dyDescent="0.25">
      <c r="B3" s="156"/>
      <c r="C3" s="164" t="s">
        <v>157</v>
      </c>
      <c r="D3" s="165"/>
      <c r="E3" s="166"/>
      <c r="F3" s="167" t="str">
        <f>C4</f>
        <v>Total</v>
      </c>
      <c r="G3" s="168" t="str">
        <f>D4</f>
        <v>Water Service Areas</v>
      </c>
      <c r="H3" s="169" t="str">
        <f>E4</f>
        <v>P-E Well Areas</v>
      </c>
      <c r="I3" s="160"/>
      <c r="J3" s="163"/>
      <c r="K3" s="162"/>
      <c r="L3" s="150"/>
    </row>
    <row r="4" spans="2:12" ht="65.45" customHeight="1" x14ac:dyDescent="0.25">
      <c r="B4" s="156"/>
      <c r="C4" s="57" t="s">
        <v>21</v>
      </c>
      <c r="D4" s="58" t="s">
        <v>22</v>
      </c>
      <c r="E4" s="59" t="s">
        <v>23</v>
      </c>
      <c r="F4" s="167"/>
      <c r="G4" s="168"/>
      <c r="H4" s="169"/>
      <c r="I4" s="60" t="s">
        <v>21</v>
      </c>
      <c r="J4" s="61" t="s">
        <v>22</v>
      </c>
      <c r="K4" s="62" t="s">
        <v>23</v>
      </c>
      <c r="L4" s="115" t="s">
        <v>73</v>
      </c>
    </row>
    <row r="5" spans="2:12" x14ac:dyDescent="0.25">
      <c r="B5" s="63" t="s">
        <v>147</v>
      </c>
      <c r="C5" s="6">
        <v>0</v>
      </c>
      <c r="D5" s="7">
        <v>0</v>
      </c>
      <c r="E5" s="76">
        <v>0</v>
      </c>
      <c r="F5" s="95">
        <f t="shared" ref="F5:F7" si="0">G5+H5</f>
        <v>7</v>
      </c>
      <c r="G5" s="96">
        <v>5</v>
      </c>
      <c r="H5" s="97">
        <v>2</v>
      </c>
      <c r="I5" s="65">
        <f t="shared" ref="I5:K8" si="1">F5-C5</f>
        <v>7</v>
      </c>
      <c r="J5" s="66">
        <f t="shared" si="1"/>
        <v>5</v>
      </c>
      <c r="K5" s="67">
        <f t="shared" si="1"/>
        <v>2</v>
      </c>
      <c r="L5" s="116">
        <v>0</v>
      </c>
    </row>
    <row r="6" spans="2:12" x14ac:dyDescent="0.25">
      <c r="B6" s="63" t="s">
        <v>148</v>
      </c>
      <c r="C6" s="6">
        <v>279</v>
      </c>
      <c r="D6" s="7">
        <v>102</v>
      </c>
      <c r="E6" s="64">
        <v>177</v>
      </c>
      <c r="F6" s="95">
        <f t="shared" si="0"/>
        <v>393</v>
      </c>
      <c r="G6" s="96">
        <v>275</v>
      </c>
      <c r="H6" s="97">
        <v>118</v>
      </c>
      <c r="I6" s="65">
        <f t="shared" si="1"/>
        <v>114</v>
      </c>
      <c r="J6" s="66">
        <f t="shared" si="1"/>
        <v>173</v>
      </c>
      <c r="K6" s="68">
        <f t="shared" si="1"/>
        <v>-59</v>
      </c>
      <c r="L6" s="116">
        <f>E6-(-K6)</f>
        <v>118</v>
      </c>
    </row>
    <row r="7" spans="2:12" ht="15.75" thickBot="1" x14ac:dyDescent="0.3">
      <c r="B7" s="63" t="s">
        <v>149</v>
      </c>
      <c r="C7" s="6">
        <v>161</v>
      </c>
      <c r="D7" s="7">
        <v>128</v>
      </c>
      <c r="E7" s="64">
        <v>33</v>
      </c>
      <c r="F7" s="98">
        <f t="shared" si="0"/>
        <v>253</v>
      </c>
      <c r="G7" s="96">
        <v>145</v>
      </c>
      <c r="H7" s="97">
        <v>108</v>
      </c>
      <c r="I7" s="65">
        <f t="shared" si="1"/>
        <v>92</v>
      </c>
      <c r="J7" s="66">
        <f t="shared" si="1"/>
        <v>17</v>
      </c>
      <c r="K7" s="67">
        <f t="shared" si="1"/>
        <v>75</v>
      </c>
      <c r="L7" s="117">
        <f>E7+(-K6)</f>
        <v>92</v>
      </c>
    </row>
    <row r="8" spans="2:12" ht="16.5" thickTop="1" thickBot="1" x14ac:dyDescent="0.3">
      <c r="B8" s="69" t="s">
        <v>20</v>
      </c>
      <c r="C8" s="70">
        <f>SUM(C5:C7)</f>
        <v>440</v>
      </c>
      <c r="D8" s="71">
        <f>SUM(D5:D7)</f>
        <v>230</v>
      </c>
      <c r="E8" s="72">
        <f t="shared" ref="E8" si="2">SUM(E5:E7)</f>
        <v>210</v>
      </c>
      <c r="F8" s="99">
        <f>SUM(F5:F7)</f>
        <v>653</v>
      </c>
      <c r="G8" s="100">
        <f>SUM(G5:G7)</f>
        <v>425</v>
      </c>
      <c r="H8" s="101">
        <f>SUM(H5:H7)</f>
        <v>228</v>
      </c>
      <c r="I8" s="73">
        <f t="shared" si="1"/>
        <v>213</v>
      </c>
      <c r="J8" s="74">
        <f t="shared" si="1"/>
        <v>195</v>
      </c>
      <c r="K8" s="75">
        <f t="shared" si="1"/>
        <v>18</v>
      </c>
      <c r="L8" s="118">
        <f>SUM(L5:L7)</f>
        <v>210</v>
      </c>
    </row>
    <row r="9" spans="2:12" ht="15.75" thickTop="1" x14ac:dyDescent="0.25"/>
    <row r="10" spans="2:12" x14ac:dyDescent="0.25">
      <c r="B10" t="s">
        <v>27</v>
      </c>
    </row>
    <row r="11" spans="2:12" x14ac:dyDescent="0.25">
      <c r="B11" t="s">
        <v>79</v>
      </c>
    </row>
    <row r="12" spans="2:12" ht="32.450000000000003" customHeight="1" x14ac:dyDescent="0.25">
      <c r="B12" s="151" t="s">
        <v>111</v>
      </c>
      <c r="C12" s="151"/>
      <c r="D12" s="151"/>
      <c r="E12" s="151"/>
      <c r="F12" s="151"/>
      <c r="G12" s="151"/>
      <c r="H12" s="151"/>
      <c r="I12" s="151"/>
      <c r="J12" s="151"/>
      <c r="K12" s="151"/>
      <c r="L12" s="151"/>
    </row>
    <row r="13" spans="2:12" x14ac:dyDescent="0.25">
      <c r="B13" s="49"/>
    </row>
    <row r="14" spans="2:12" x14ac:dyDescent="0.25">
      <c r="B14" t="s">
        <v>76</v>
      </c>
    </row>
    <row r="15" spans="2:12" x14ac:dyDescent="0.25">
      <c r="B15" t="s">
        <v>77</v>
      </c>
    </row>
    <row r="16" spans="2:12" x14ac:dyDescent="0.25">
      <c r="B16" t="s">
        <v>78</v>
      </c>
      <c r="L16" s="25" t="s">
        <v>144</v>
      </c>
    </row>
  </sheetData>
  <mergeCells count="11">
    <mergeCell ref="L2:L3"/>
    <mergeCell ref="B12:L12"/>
    <mergeCell ref="B1:L1"/>
    <mergeCell ref="B2:B4"/>
    <mergeCell ref="F2:H2"/>
    <mergeCell ref="I2:K3"/>
    <mergeCell ref="C3:E3"/>
    <mergeCell ref="F3:F4"/>
    <mergeCell ref="G3:G4"/>
    <mergeCell ref="H3:H4"/>
    <mergeCell ref="C2:E2"/>
  </mergeCells>
  <pageMargins left="0.7" right="0.7" top="0.75" bottom="0.75" header="0.3" footer="0.3"/>
  <pageSetup paperSize="5" orientation="landscape" r:id="rId1"/>
  <headerFooter>
    <oddFooter>&amp;F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topLeftCell="A25" zoomScaleNormal="100" workbookViewId="0">
      <selection activeCell="I4" sqref="I4"/>
    </sheetView>
  </sheetViews>
  <sheetFormatPr defaultRowHeight="15" x14ac:dyDescent="0.25"/>
  <cols>
    <col min="1" max="1" width="4.85546875" customWidth="1"/>
    <col min="2" max="2" width="24.42578125" customWidth="1"/>
    <col min="3" max="3" width="11.5703125" customWidth="1"/>
    <col min="4" max="4" width="11.42578125" customWidth="1"/>
    <col min="5" max="5" width="12.85546875" customWidth="1"/>
    <col min="6" max="6" width="13" customWidth="1"/>
    <col min="7" max="7" width="16" customWidth="1"/>
    <col min="8" max="8" width="13.5703125" customWidth="1"/>
    <col min="9" max="9" width="14.42578125" customWidth="1"/>
    <col min="10" max="10" width="6.140625" customWidth="1"/>
  </cols>
  <sheetData>
    <row r="1" spans="2:9" ht="23.25" x14ac:dyDescent="0.35">
      <c r="B1" s="176" t="s">
        <v>131</v>
      </c>
      <c r="C1" s="176"/>
      <c r="D1" s="176"/>
      <c r="E1" s="176"/>
      <c r="F1" s="176"/>
      <c r="G1" s="176"/>
      <c r="H1" s="176"/>
      <c r="I1" s="25" t="s">
        <v>144</v>
      </c>
    </row>
    <row r="2" spans="2:9" ht="12.6" customHeight="1" thickBot="1" x14ac:dyDescent="0.4">
      <c r="B2" s="183"/>
      <c r="C2" s="183"/>
      <c r="D2" s="183"/>
      <c r="E2" s="183"/>
      <c r="F2" s="183"/>
      <c r="G2" s="183"/>
      <c r="H2" s="183"/>
    </row>
    <row r="3" spans="2:9" ht="15.75" thickBot="1" x14ac:dyDescent="0.3">
      <c r="B3" s="177" t="s">
        <v>139</v>
      </c>
      <c r="C3" s="178"/>
      <c r="D3" s="178"/>
      <c r="E3" s="178"/>
      <c r="F3" s="178"/>
      <c r="G3" s="178"/>
      <c r="H3" s="179"/>
    </row>
    <row r="4" spans="2:9" ht="105.75" thickBot="1" x14ac:dyDescent="0.3">
      <c r="B4" s="77" t="s">
        <v>80</v>
      </c>
      <c r="C4" s="78" t="s">
        <v>132</v>
      </c>
      <c r="D4" s="79" t="s">
        <v>133</v>
      </c>
      <c r="E4" s="79" t="s">
        <v>134</v>
      </c>
      <c r="F4" s="78" t="s">
        <v>135</v>
      </c>
      <c r="G4" s="79" t="s">
        <v>82</v>
      </c>
      <c r="H4" s="80" t="s">
        <v>81</v>
      </c>
    </row>
    <row r="5" spans="2:9" x14ac:dyDescent="0.25">
      <c r="B5" s="81" t="s">
        <v>83</v>
      </c>
      <c r="C5" s="32">
        <v>129</v>
      </c>
      <c r="D5" s="32">
        <v>66</v>
      </c>
      <c r="E5" s="32">
        <v>7</v>
      </c>
      <c r="F5" s="32">
        <v>40</v>
      </c>
      <c r="G5" s="32">
        <v>14</v>
      </c>
      <c r="H5" s="9">
        <v>5</v>
      </c>
    </row>
    <row r="6" spans="2:9" x14ac:dyDescent="0.25">
      <c r="B6" s="82" t="s">
        <v>84</v>
      </c>
      <c r="C6" s="34">
        <v>76</v>
      </c>
      <c r="D6" s="34">
        <v>48</v>
      </c>
      <c r="E6" s="34">
        <v>2</v>
      </c>
      <c r="F6" s="34">
        <v>11</v>
      </c>
      <c r="G6" s="34">
        <v>28</v>
      </c>
      <c r="H6" s="16">
        <v>7</v>
      </c>
    </row>
    <row r="7" spans="2:9" x14ac:dyDescent="0.25">
      <c r="B7" s="83" t="s">
        <v>26</v>
      </c>
      <c r="C7" s="34">
        <f>C5+C6</f>
        <v>205</v>
      </c>
      <c r="D7" s="34">
        <f t="shared" ref="D7:H7" si="0">D5+D6</f>
        <v>114</v>
      </c>
      <c r="E7" s="34">
        <f t="shared" si="0"/>
        <v>9</v>
      </c>
      <c r="F7" s="34">
        <f t="shared" si="0"/>
        <v>51</v>
      </c>
      <c r="G7" s="34">
        <f>G5+G6</f>
        <v>42</v>
      </c>
      <c r="H7" s="16">
        <f t="shared" si="0"/>
        <v>12</v>
      </c>
    </row>
    <row r="8" spans="2:9" ht="15.75" thickBot="1" x14ac:dyDescent="0.3">
      <c r="B8" s="85" t="s">
        <v>85</v>
      </c>
      <c r="C8" s="86"/>
      <c r="D8" s="87">
        <f>D7/C7</f>
        <v>0.55609756097560981</v>
      </c>
      <c r="E8" s="87">
        <f>E7/D7</f>
        <v>7.8947368421052627E-2</v>
      </c>
      <c r="F8" s="87">
        <f>F7/D7</f>
        <v>0.44736842105263158</v>
      </c>
      <c r="G8" s="87">
        <f>G7/D7</f>
        <v>0.36842105263157893</v>
      </c>
      <c r="H8" s="88">
        <f>H7/D7</f>
        <v>0.10526315789473684</v>
      </c>
      <c r="I8" s="84"/>
    </row>
    <row r="9" spans="2:9" ht="15.75" thickTop="1" x14ac:dyDescent="0.25">
      <c r="B9" s="180" t="s">
        <v>116</v>
      </c>
      <c r="C9" s="181"/>
      <c r="D9" s="181"/>
      <c r="E9" s="181"/>
      <c r="F9" s="181"/>
      <c r="G9" s="181"/>
      <c r="H9" s="182"/>
    </row>
    <row r="10" spans="2:9" ht="15.75" thickBot="1" x14ac:dyDescent="0.3">
      <c r="B10" s="89" t="s">
        <v>47</v>
      </c>
      <c r="C10" s="90"/>
      <c r="D10" s="90"/>
      <c r="E10" s="91">
        <f>E8*C7</f>
        <v>16.184210526315788</v>
      </c>
      <c r="F10" s="92">
        <f>F8*C7</f>
        <v>91.71052631578948</v>
      </c>
      <c r="G10" s="92">
        <f>G8*C7</f>
        <v>75.526315789473685</v>
      </c>
      <c r="H10" s="93">
        <f>H8*C7</f>
        <v>21.578947368421051</v>
      </c>
      <c r="I10" s="3"/>
    </row>
    <row r="11" spans="2:9" x14ac:dyDescent="0.25">
      <c r="E11" s="8"/>
      <c r="F11" s="8"/>
      <c r="G11" s="8"/>
      <c r="H11" s="8"/>
      <c r="I11" s="3"/>
    </row>
    <row r="12" spans="2:9" x14ac:dyDescent="0.25">
      <c r="B12" t="s">
        <v>27</v>
      </c>
    </row>
    <row r="13" spans="2:9" x14ac:dyDescent="0.25">
      <c r="B13" t="s">
        <v>99</v>
      </c>
    </row>
    <row r="14" spans="2:9" x14ac:dyDescent="0.25">
      <c r="B14" t="s">
        <v>100</v>
      </c>
    </row>
    <row r="15" spans="2:9" x14ac:dyDescent="0.25">
      <c r="B15" t="s">
        <v>128</v>
      </c>
    </row>
    <row r="16" spans="2:9" ht="31.7" customHeight="1" x14ac:dyDescent="0.25">
      <c r="B16" s="184" t="s">
        <v>86</v>
      </c>
      <c r="C16" s="184"/>
      <c r="D16" s="184"/>
      <c r="E16" s="184"/>
      <c r="F16" s="184"/>
      <c r="G16" s="184"/>
      <c r="H16" s="184"/>
      <c r="I16" s="94"/>
    </row>
    <row r="17" spans="2:9" ht="10.7" customHeight="1" x14ac:dyDescent="0.25">
      <c r="B17" s="106"/>
      <c r="C17" s="106"/>
      <c r="D17" s="106"/>
      <c r="E17" s="106"/>
      <c r="F17" s="106"/>
      <c r="G17" s="106"/>
      <c r="H17" s="106"/>
      <c r="I17" s="106"/>
    </row>
    <row r="18" spans="2:9" x14ac:dyDescent="0.25">
      <c r="B18" t="s">
        <v>94</v>
      </c>
    </row>
    <row r="19" spans="2:9" x14ac:dyDescent="0.25">
      <c r="B19" t="s">
        <v>137</v>
      </c>
    </row>
    <row r="20" spans="2:9" x14ac:dyDescent="0.25">
      <c r="B20" t="s">
        <v>95</v>
      </c>
    </row>
    <row r="21" spans="2:9" x14ac:dyDescent="0.25">
      <c r="B21" t="s">
        <v>96</v>
      </c>
    </row>
    <row r="22" spans="2:9" x14ac:dyDescent="0.25">
      <c r="B22" t="s">
        <v>97</v>
      </c>
    </row>
    <row r="23" spans="2:9" x14ac:dyDescent="0.25">
      <c r="B23" t="s">
        <v>98</v>
      </c>
    </row>
    <row r="24" spans="2:9" x14ac:dyDescent="0.25">
      <c r="B24" s="94"/>
      <c r="C24" s="94"/>
      <c r="D24" s="94"/>
      <c r="E24" s="94"/>
      <c r="F24" s="94"/>
      <c r="G24" s="94"/>
      <c r="H24" s="94"/>
      <c r="I24" s="94"/>
    </row>
    <row r="25" spans="2:9" ht="23.25" x14ac:dyDescent="0.35">
      <c r="B25" s="173" t="s">
        <v>131</v>
      </c>
      <c r="C25" s="174"/>
      <c r="D25" s="174"/>
      <c r="E25" s="174"/>
      <c r="F25" s="174"/>
      <c r="G25" s="174"/>
      <c r="H25" s="174"/>
      <c r="I25" s="175"/>
    </row>
    <row r="26" spans="2:9" ht="60" x14ac:dyDescent="0.25">
      <c r="B26" s="127" t="s">
        <v>136</v>
      </c>
      <c r="C26" s="128" t="s">
        <v>114</v>
      </c>
      <c r="D26" s="129" t="s">
        <v>115</v>
      </c>
      <c r="E26" s="130" t="s">
        <v>21</v>
      </c>
      <c r="F26" s="131" t="s">
        <v>101</v>
      </c>
      <c r="G26" s="132" t="s">
        <v>113</v>
      </c>
      <c r="H26" s="133" t="s">
        <v>28</v>
      </c>
      <c r="I26" s="127" t="s">
        <v>87</v>
      </c>
    </row>
    <row r="27" spans="2:9" x14ac:dyDescent="0.25">
      <c r="B27" s="47" t="s">
        <v>5</v>
      </c>
      <c r="C27" s="34">
        <v>0</v>
      </c>
      <c r="D27" s="34">
        <v>0</v>
      </c>
      <c r="E27" s="107">
        <f>C27+D27</f>
        <v>0</v>
      </c>
      <c r="F27" s="110">
        <f>E27*1.77</f>
        <v>0</v>
      </c>
      <c r="G27" s="111">
        <v>0</v>
      </c>
      <c r="H27" s="108" t="s">
        <v>15</v>
      </c>
      <c r="I27" s="47"/>
    </row>
    <row r="28" spans="2:9" x14ac:dyDescent="0.25">
      <c r="B28" s="47" t="s">
        <v>8</v>
      </c>
      <c r="C28" s="34">
        <v>1</v>
      </c>
      <c r="D28" s="34">
        <v>0</v>
      </c>
      <c r="E28" s="107">
        <f t="shared" ref="E28:E35" si="1">C28+D28</f>
        <v>1</v>
      </c>
      <c r="F28" s="110">
        <f t="shared" ref="F28:F38" si="2">E28*1.77</f>
        <v>1.77</v>
      </c>
      <c r="G28" s="111">
        <v>2</v>
      </c>
      <c r="H28" s="108" t="s">
        <v>16</v>
      </c>
      <c r="I28" s="47" t="s">
        <v>88</v>
      </c>
    </row>
    <row r="29" spans="2:9" x14ac:dyDescent="0.25">
      <c r="B29" s="47" t="s">
        <v>9</v>
      </c>
      <c r="C29" s="34">
        <v>3</v>
      </c>
      <c r="D29" s="34">
        <v>0</v>
      </c>
      <c r="E29" s="107">
        <f t="shared" si="1"/>
        <v>3</v>
      </c>
      <c r="F29" s="110">
        <f t="shared" si="2"/>
        <v>5.3100000000000005</v>
      </c>
      <c r="G29" s="111">
        <v>5</v>
      </c>
      <c r="H29" s="108" t="s">
        <v>16</v>
      </c>
      <c r="I29" s="47" t="s">
        <v>89</v>
      </c>
    </row>
    <row r="30" spans="2:9" x14ac:dyDescent="0.25">
      <c r="B30" s="47" t="s">
        <v>10</v>
      </c>
      <c r="C30" s="34">
        <v>0</v>
      </c>
      <c r="D30" s="34">
        <v>0</v>
      </c>
      <c r="E30" s="107">
        <f t="shared" si="1"/>
        <v>0</v>
      </c>
      <c r="F30" s="110">
        <f t="shared" si="2"/>
        <v>0</v>
      </c>
      <c r="G30" s="111">
        <v>0</v>
      </c>
      <c r="H30" s="108" t="s">
        <v>16</v>
      </c>
      <c r="I30" s="47"/>
    </row>
    <row r="31" spans="2:9" x14ac:dyDescent="0.25">
      <c r="B31" s="47" t="s">
        <v>11</v>
      </c>
      <c r="C31" s="34">
        <v>0</v>
      </c>
      <c r="D31" s="34">
        <v>0</v>
      </c>
      <c r="E31" s="107">
        <f t="shared" si="1"/>
        <v>0</v>
      </c>
      <c r="F31" s="110">
        <f t="shared" si="2"/>
        <v>0</v>
      </c>
      <c r="G31" s="111">
        <v>0</v>
      </c>
      <c r="H31" s="108" t="s">
        <v>90</v>
      </c>
      <c r="I31" s="47"/>
    </row>
    <row r="32" spans="2:9" x14ac:dyDescent="0.25">
      <c r="B32" s="47" t="s">
        <v>12</v>
      </c>
      <c r="C32" s="34">
        <v>1</v>
      </c>
      <c r="D32" s="34">
        <v>1</v>
      </c>
      <c r="E32" s="107">
        <f t="shared" si="1"/>
        <v>2</v>
      </c>
      <c r="F32" s="110">
        <f t="shared" si="2"/>
        <v>3.54</v>
      </c>
      <c r="G32" s="111">
        <v>4</v>
      </c>
      <c r="H32" s="108" t="s">
        <v>16</v>
      </c>
      <c r="I32" s="47" t="s">
        <v>91</v>
      </c>
    </row>
    <row r="33" spans="1:9" x14ac:dyDescent="0.25">
      <c r="B33" s="47" t="s">
        <v>13</v>
      </c>
      <c r="C33" s="34">
        <v>1</v>
      </c>
      <c r="D33" s="34">
        <v>1</v>
      </c>
      <c r="E33" s="107">
        <f t="shared" si="1"/>
        <v>2</v>
      </c>
      <c r="F33" s="110">
        <f t="shared" si="2"/>
        <v>3.54</v>
      </c>
      <c r="G33" s="111">
        <v>4</v>
      </c>
      <c r="H33" s="108" t="s">
        <v>16</v>
      </c>
      <c r="I33" s="47" t="s">
        <v>92</v>
      </c>
    </row>
    <row r="34" spans="1:9" x14ac:dyDescent="0.25">
      <c r="B34" s="47" t="s">
        <v>19</v>
      </c>
      <c r="C34" s="34">
        <v>0</v>
      </c>
      <c r="D34" s="34">
        <v>0</v>
      </c>
      <c r="E34" s="107">
        <f>C34+D34</f>
        <v>0</v>
      </c>
      <c r="F34" s="110">
        <f t="shared" si="2"/>
        <v>0</v>
      </c>
      <c r="G34" s="111">
        <v>0</v>
      </c>
      <c r="H34" s="108" t="s">
        <v>15</v>
      </c>
      <c r="I34" s="47"/>
    </row>
    <row r="35" spans="1:9" x14ac:dyDescent="0.25">
      <c r="B35" s="47" t="s">
        <v>14</v>
      </c>
      <c r="C35" s="34">
        <v>0</v>
      </c>
      <c r="D35" s="34">
        <v>0</v>
      </c>
      <c r="E35" s="107">
        <f t="shared" si="1"/>
        <v>0</v>
      </c>
      <c r="F35" s="110">
        <f t="shared" si="2"/>
        <v>0</v>
      </c>
      <c r="G35" s="111">
        <v>0</v>
      </c>
      <c r="H35" s="108" t="s">
        <v>15</v>
      </c>
      <c r="I35" s="47"/>
    </row>
    <row r="36" spans="1:9" x14ac:dyDescent="0.25">
      <c r="B36" s="47" t="s">
        <v>6</v>
      </c>
      <c r="C36" s="34">
        <v>0</v>
      </c>
      <c r="D36" s="34">
        <v>0</v>
      </c>
      <c r="E36" s="107">
        <f>C36+D36</f>
        <v>0</v>
      </c>
      <c r="F36" s="110">
        <f t="shared" si="2"/>
        <v>0</v>
      </c>
      <c r="G36" s="111">
        <v>0</v>
      </c>
      <c r="H36" s="108" t="s">
        <v>15</v>
      </c>
      <c r="I36" s="47"/>
    </row>
    <row r="37" spans="1:9" x14ac:dyDescent="0.25">
      <c r="B37" s="47" t="s">
        <v>7</v>
      </c>
      <c r="C37" s="34">
        <v>1</v>
      </c>
      <c r="D37" s="34">
        <v>0</v>
      </c>
      <c r="E37" s="107">
        <f>C37+D37</f>
        <v>1</v>
      </c>
      <c r="F37" s="110">
        <f t="shared" si="2"/>
        <v>1.77</v>
      </c>
      <c r="G37" s="111">
        <v>2</v>
      </c>
      <c r="H37" s="108" t="s">
        <v>15</v>
      </c>
      <c r="I37" s="47" t="s">
        <v>93</v>
      </c>
    </row>
    <row r="38" spans="1:9" x14ac:dyDescent="0.25">
      <c r="B38" s="47" t="s">
        <v>18</v>
      </c>
      <c r="C38" s="34">
        <v>0</v>
      </c>
      <c r="D38" s="34">
        <v>0</v>
      </c>
      <c r="E38" s="107">
        <f>C38+D38</f>
        <v>0</v>
      </c>
      <c r="F38" s="110">
        <f t="shared" si="2"/>
        <v>0</v>
      </c>
      <c r="G38" s="111">
        <v>0</v>
      </c>
      <c r="H38" s="108" t="s">
        <v>15</v>
      </c>
      <c r="I38" s="47"/>
    </row>
    <row r="39" spans="1:9" ht="15.75" thickBot="1" x14ac:dyDescent="0.3">
      <c r="B39" s="47" t="s">
        <v>26</v>
      </c>
      <c r="C39" s="34">
        <f t="shared" ref="C39:D39" si="3">SUM(C27:C38)</f>
        <v>7</v>
      </c>
      <c r="D39" s="34">
        <f t="shared" si="3"/>
        <v>2</v>
      </c>
      <c r="E39" s="107">
        <f>SUM(E27:E38)</f>
        <v>9</v>
      </c>
      <c r="F39" s="112">
        <f>SUM(F27:F38)</f>
        <v>15.93</v>
      </c>
      <c r="G39" s="113">
        <f>SUM(G27:G38)</f>
        <v>17</v>
      </c>
      <c r="H39" s="109"/>
      <c r="I39" s="47"/>
    </row>
    <row r="40" spans="1:9" x14ac:dyDescent="0.25">
      <c r="A40" s="104"/>
      <c r="B40" s="4"/>
      <c r="C40" s="105"/>
    </row>
    <row r="41" spans="1:9" ht="63" customHeight="1" x14ac:dyDescent="0.25">
      <c r="B41" s="145" t="s">
        <v>138</v>
      </c>
      <c r="C41" s="145"/>
      <c r="D41" s="145"/>
      <c r="E41" s="145"/>
      <c r="F41" s="145"/>
      <c r="G41" s="145"/>
      <c r="H41" s="145"/>
      <c r="I41" s="145"/>
    </row>
  </sheetData>
  <mergeCells count="7">
    <mergeCell ref="B41:I41"/>
    <mergeCell ref="B25:I25"/>
    <mergeCell ref="B1:H1"/>
    <mergeCell ref="B3:H3"/>
    <mergeCell ref="B9:H9"/>
    <mergeCell ref="B2:H2"/>
    <mergeCell ref="B16:H16"/>
  </mergeCells>
  <pageMargins left="0.7" right="0.7" top="0.75" bottom="0.75" header="0.3" footer="0.3"/>
  <pageSetup paperSize="5" orientation="landscape" r:id="rId1"/>
  <headerFooter>
    <oddFooter>&amp;F</oddFooter>
  </headerFooter>
  <rowBreaks count="1" manualBreakCount="1">
    <brk id="23" max="9"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EZview xmlns="81b753b0-5f84-4476-b087-97d9c3e0d4e3">Needs to be posted</EZview>
    <WRIA xmlns="81b753b0-5f84-4476-b087-97d9c3e0d4e3">Multiple</WRIA>
    <Accessibility xmlns="81b753b0-5f84-4476-b087-97d9c3e0d4e3">Needs review</Accessibility>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E87ED565BBD1434694F55D60D1AC51F4" ma:contentTypeVersion="4" ma:contentTypeDescription="Create a new document." ma:contentTypeScope="" ma:versionID="7ef8990a4143c1fb14ff7fc306b482fe">
  <xsd:schema xmlns:xsd="http://www.w3.org/2001/XMLSchema" xmlns:xs="http://www.w3.org/2001/XMLSchema" xmlns:p="http://schemas.microsoft.com/office/2006/metadata/properties" xmlns:ns2="81b753b0-5f84-4476-b087-97d9c3e0d4e3" xmlns:ns3="fa9a4940-7a8b-4399-b0b9-597dee2fdc40" targetNamespace="http://schemas.microsoft.com/office/2006/metadata/properties" ma:root="true" ma:fieldsID="c4f91c7ad463c6fcefe2016f92c5b7d2" ns2:_="" ns3:_="">
    <xsd:import namespace="81b753b0-5f84-4476-b087-97d9c3e0d4e3"/>
    <xsd:import namespace="fa9a4940-7a8b-4399-b0b9-597dee2fdc40"/>
    <xsd:element name="properties">
      <xsd:complexType>
        <xsd:sequence>
          <xsd:element name="documentManagement">
            <xsd:complexType>
              <xsd:all>
                <xsd:element ref="ns2:WRIA"/>
                <xsd:element ref="ns2:Accessibility" minOccurs="0"/>
                <xsd:element ref="ns2:EZview"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1b753b0-5f84-4476-b087-97d9c3e0d4e3" elementFormDefault="qualified">
    <xsd:import namespace="http://schemas.microsoft.com/office/2006/documentManagement/types"/>
    <xsd:import namespace="http://schemas.microsoft.com/office/infopath/2007/PartnerControls"/>
    <xsd:element name="WRIA" ma:index="8" ma:displayName="WRIA" ma:default="Multiple" ma:description="Committee's WRIA" ma:format="Dropdown" ma:internalName="WRIA">
      <xsd:simpleType>
        <xsd:restriction base="dms:Choice">
          <xsd:enumeration value="7"/>
          <xsd:enumeration value="8"/>
          <xsd:enumeration value="9"/>
          <xsd:enumeration value="10"/>
          <xsd:enumeration value="12"/>
          <xsd:enumeration value="Multiple"/>
          <xsd:enumeration value="13"/>
          <xsd:enumeration value="14"/>
          <xsd:enumeration value="15"/>
        </xsd:restriction>
      </xsd:simpleType>
    </xsd:element>
    <xsd:element name="Accessibility" ma:index="9" nillable="true" ma:displayName="Accessibility" ma:default="Needs review" ma:description="Status of Accessibility check." ma:format="Dropdown" ma:internalName="Accessibility">
      <xsd:simpleType>
        <xsd:restriction base="dms:Choice">
          <xsd:enumeration value="Sent Back to Planner"/>
          <xsd:enumeration value="Needs review"/>
          <xsd:enumeration value="In Progress"/>
          <xsd:enumeration value="Completed"/>
        </xsd:restriction>
      </xsd:simpleType>
    </xsd:element>
    <xsd:element name="EZview" ma:index="10" nillable="true" ma:displayName="EZview" ma:default="Needs to be posted" ma:description="Status of document on EZview." ma:format="Dropdown" ma:internalName="EZview">
      <xsd:simpleType>
        <xsd:restriction base="dms:Choice">
          <xsd:enumeration value="Needs to be posted"/>
          <xsd:enumeration value="Pending review"/>
          <xsd:enumeration value="Posted"/>
          <xsd:enumeration value="Removed"/>
        </xsd:restriction>
      </xsd:simpleType>
    </xsd:element>
  </xsd:schema>
  <xsd:schema xmlns:xsd="http://www.w3.org/2001/XMLSchema" xmlns:xs="http://www.w3.org/2001/XMLSchema" xmlns:dms="http://schemas.microsoft.com/office/2006/documentManagement/types" xmlns:pc="http://schemas.microsoft.com/office/infopath/2007/PartnerControls" targetNamespace="fa9a4940-7a8b-4399-b0b9-597dee2fdc40"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970BAAD-886A-47D2-9AD9-E6BF2CCCE0C9}">
  <ds:schemaRefs>
    <ds:schemaRef ds:uri="http://schemas.microsoft.com/sharepoint/v3/contenttype/forms"/>
  </ds:schemaRefs>
</ds:datastoreItem>
</file>

<file path=customXml/itemProps2.xml><?xml version="1.0" encoding="utf-8"?>
<ds:datastoreItem xmlns:ds="http://schemas.openxmlformats.org/officeDocument/2006/customXml" ds:itemID="{9B63D344-9C64-4F17-95A6-C998B7A2BB13}">
  <ds:schemaRefs>
    <ds:schemaRef ds:uri="http://purl.org/dc/elements/1.1/"/>
    <ds:schemaRef ds:uri="http://schemas.microsoft.com/office/2006/metadata/properties"/>
    <ds:schemaRef ds:uri="81b753b0-5f84-4476-b087-97d9c3e0d4e3"/>
    <ds:schemaRef ds:uri="http://purl.org/dc/terms/"/>
    <ds:schemaRef ds:uri="http://schemas.openxmlformats.org/package/2006/metadata/core-properties"/>
    <ds:schemaRef ds:uri="http://schemas.microsoft.com/office/2006/documentManagement/types"/>
    <ds:schemaRef ds:uri="fa9a4940-7a8b-4399-b0b9-597dee2fdc40"/>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9DB4A2A5-B257-477F-8FF7-04B9E850E03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1b753b0-5f84-4476-b087-97d9c3e0d4e3"/>
    <ds:schemaRef ds:uri="fa9a4940-7a8b-4399-b0b9-597dee2fdc4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Summary</vt:lpstr>
      <vt:lpstr>King Co Data</vt:lpstr>
      <vt:lpstr>Snohomish Co Data</vt:lpstr>
      <vt:lpstr>UGA Spot Check</vt:lpstr>
      <vt:lpstr>'King Co Data'!Print_Area</vt:lpstr>
      <vt:lpstr>'Snohomish Co Data'!Print_Area</vt:lpstr>
      <vt:lpstr>Summary!Print_Area</vt:lpstr>
      <vt:lpstr>'UGA Spot Check'!Print_Area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Bridget August</dc:creator>
  <cp:lastModifiedBy>Medcalf, RiAnne (ECY)</cp:lastModifiedBy>
  <cp:lastPrinted>2019-08-13T22:00:03Z</cp:lastPrinted>
  <dcterms:created xsi:type="dcterms:W3CDTF">2019-08-07T16:54:49Z</dcterms:created>
  <dcterms:modified xsi:type="dcterms:W3CDTF">2019-08-20T20:42:00Z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0x010100E87ED565BBD1434694F55D60D1AC51F4</vt:lpwstr>
  </property>
  <property fmtid="{D5CDD505-2E9C-101B-9397-08002B2CF9AE}" pid="3" name="_dlc_DocIdItemGuid">
    <vt:lpwstr>96fecfd9-749c-469c-9e37-cc820eec5fa6</vt:lpwstr>
  </property>
</Properties>
</file>