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_STREAMFLOW\Stephanie\WRECs\Sept19 WREC meeting materials\WRIA 8 handouts\"/>
    </mc:Choice>
  </mc:AlternateContent>
  <bookViews>
    <workbookView xWindow="0" yWindow="0" windowWidth="23040" windowHeight="10050" tabRatio="653"/>
  </bookViews>
  <sheets>
    <sheet name="1. Summary" sheetId="1" r:id="rId1"/>
    <sheet name="2. King Co Data" sheetId="2" r:id="rId2"/>
    <sheet name="3. Snohomish Co Data" sheetId="3" r:id="rId3"/>
    <sheet name="4. UGA Spot Check" sheetId="4" r:id="rId4"/>
    <sheet name="5. Assumptions" sheetId="5" r:id="rId5"/>
    <sheet name="6. KingCo - Over or Under Count" sheetId="6" r:id="rId6"/>
    <sheet name="7. SnoCo - Over or Under Count" sheetId="7" r:id="rId7"/>
  </sheets>
  <definedNames>
    <definedName name="_xlnm.Print_Area" localSheetId="0">'1. Summary'!$A$1:$G$28</definedName>
    <definedName name="_xlnm.Print_Area" localSheetId="1">'2. King Co Data'!$A$1:$P$45</definedName>
    <definedName name="_xlnm.Print_Area" localSheetId="2">'3. Snohomish Co Data'!$A$1:$M$16</definedName>
    <definedName name="_xlnm.Print_Area" localSheetId="3">'4. UGA Spot Check'!$A$1:$J$42</definedName>
    <definedName name="_xlnm.Print_Area" localSheetId="4">'5. Assumptions'!$A$1:$E$24</definedName>
    <definedName name="_xlnm.Print_Area" localSheetId="6">'7. SnoCo - Over or Under Count'!$A$2:$C$28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4" i="2" l="1"/>
  <c r="AF64" i="2"/>
  <c r="AG54" i="2"/>
  <c r="AG53" i="2"/>
  <c r="AG52" i="2"/>
  <c r="AC63" i="2"/>
  <c r="AE63" i="2" s="1"/>
  <c r="AG63" i="2" s="1"/>
  <c r="AC55" i="2"/>
  <c r="AB63" i="2"/>
  <c r="AD63" i="2" s="1"/>
  <c r="AB55" i="2"/>
  <c r="AB54" i="2"/>
  <c r="Z64" i="2"/>
  <c r="Y64" i="2"/>
  <c r="X64" i="2"/>
  <c r="W64" i="2"/>
  <c r="T64" i="2"/>
  <c r="U63" i="2"/>
  <c r="U64" i="2" s="1"/>
  <c r="W68" i="2" l="1"/>
  <c r="Z68" i="2"/>
  <c r="P64" i="2" l="1"/>
  <c r="P49" i="2"/>
  <c r="G64" i="2" l="1"/>
  <c r="F64" i="2"/>
  <c r="E64" i="2"/>
  <c r="I62" i="2"/>
  <c r="H62" i="2"/>
  <c r="I61" i="2"/>
  <c r="H61" i="2"/>
  <c r="I60" i="2"/>
  <c r="H60" i="2"/>
  <c r="I59" i="2"/>
  <c r="H59" i="2"/>
  <c r="H58" i="2"/>
  <c r="B57" i="2"/>
  <c r="I56" i="2"/>
  <c r="H56" i="2"/>
  <c r="AC60" i="2" l="1"/>
  <c r="AE60" i="2" s="1"/>
  <c r="AG60" i="2" s="1"/>
  <c r="AB60" i="2"/>
  <c r="AD60" i="2" s="1"/>
  <c r="AC59" i="2"/>
  <c r="AE59" i="2" s="1"/>
  <c r="AG59" i="2" s="1"/>
  <c r="AB59" i="2"/>
  <c r="AB56" i="2"/>
  <c r="AD56" i="2" s="1"/>
  <c r="AC56" i="2"/>
  <c r="AC61" i="2"/>
  <c r="AE61" i="2" s="1"/>
  <c r="AG61" i="2" s="1"/>
  <c r="AB61" i="2"/>
  <c r="AD61" i="2" s="1"/>
  <c r="AC62" i="2"/>
  <c r="AE62" i="2" s="1"/>
  <c r="AG62" i="2" s="1"/>
  <c r="AB62" i="2"/>
  <c r="AD62" i="2" s="1"/>
  <c r="AB58" i="2"/>
  <c r="AD58" i="2" s="1"/>
  <c r="AC58" i="2"/>
  <c r="I64" i="2"/>
  <c r="AC54" i="2"/>
  <c r="AD59" i="2"/>
  <c r="AE56" i="2"/>
  <c r="AG56" i="2" s="1"/>
  <c r="B64" i="2"/>
  <c r="C57" i="2" s="1"/>
  <c r="L57" i="2" s="1"/>
  <c r="H57" i="2"/>
  <c r="I57" i="2"/>
  <c r="AC57" i="2" l="1"/>
  <c r="AE57" i="2" s="1"/>
  <c r="AG57" i="2" s="1"/>
  <c r="AB57" i="2"/>
  <c r="AD57" i="2" s="1"/>
  <c r="AE58" i="2"/>
  <c r="AG58" i="2" s="1"/>
  <c r="M57" i="2"/>
  <c r="N57" i="2" s="1"/>
  <c r="O57" i="2" s="1"/>
  <c r="C55" i="2"/>
  <c r="C63" i="2"/>
  <c r="L63" i="2" s="1"/>
  <c r="M63" i="2" s="1"/>
  <c r="N63" i="2" s="1"/>
  <c r="O63" i="2" s="1"/>
  <c r="C60" i="2"/>
  <c r="L60" i="2" s="1"/>
  <c r="M60" i="2" s="1"/>
  <c r="N60" i="2" s="1"/>
  <c r="O60" i="2" s="1"/>
  <c r="C56" i="2"/>
  <c r="L56" i="2" s="1"/>
  <c r="M56" i="2" s="1"/>
  <c r="N56" i="2" s="1"/>
  <c r="O56" i="2" s="1"/>
  <c r="C62" i="2"/>
  <c r="L62" i="2" s="1"/>
  <c r="M62" i="2" s="1"/>
  <c r="N62" i="2" s="1"/>
  <c r="O62" i="2" s="1"/>
  <c r="C61" i="2"/>
  <c r="L61" i="2" s="1"/>
  <c r="M61" i="2" s="1"/>
  <c r="N61" i="2" s="1"/>
  <c r="O61" i="2" s="1"/>
  <c r="C58" i="2"/>
  <c r="L58" i="2" s="1"/>
  <c r="M58" i="2" s="1"/>
  <c r="N58" i="2" s="1"/>
  <c r="O58" i="2" s="1"/>
  <c r="C59" i="2"/>
  <c r="L59" i="2" s="1"/>
  <c r="M59" i="2" s="1"/>
  <c r="N59" i="2" s="1"/>
  <c r="O59" i="2" s="1"/>
  <c r="AE55" i="2"/>
  <c r="AG55" i="2" s="1"/>
  <c r="AD55" i="2"/>
  <c r="AB64" i="2" l="1"/>
  <c r="AD64" i="2"/>
  <c r="AE64" i="2"/>
  <c r="L55" i="2"/>
  <c r="C64" i="2"/>
  <c r="AC64" i="2"/>
  <c r="AB68" i="2" l="1"/>
  <c r="AE68" i="2"/>
  <c r="M55" i="2"/>
  <c r="L64" i="2"/>
  <c r="M64" i="2" l="1"/>
  <c r="N55" i="2"/>
  <c r="O55" i="2" l="1"/>
  <c r="O64" i="2" s="1"/>
  <c r="N64" i="2"/>
  <c r="F8" i="1" l="1"/>
  <c r="F17" i="1"/>
  <c r="F16" i="1"/>
  <c r="F15" i="1"/>
  <c r="F14" i="1"/>
  <c r="F13" i="1"/>
  <c r="F12" i="1"/>
  <c r="F10" i="1"/>
  <c r="F7" i="1"/>
  <c r="F6" i="1"/>
  <c r="G39" i="4"/>
  <c r="C11" i="1"/>
  <c r="F11" i="1" s="1"/>
  <c r="C39" i="4"/>
  <c r="D39" i="4"/>
  <c r="E38" i="4"/>
  <c r="F38" i="4" s="1"/>
  <c r="E37" i="4"/>
  <c r="F37" i="4" s="1"/>
  <c r="E36" i="4"/>
  <c r="F36" i="4" s="1"/>
  <c r="E35" i="4"/>
  <c r="F35" i="4" s="1"/>
  <c r="E34" i="4"/>
  <c r="F34" i="4" s="1"/>
  <c r="E33" i="4"/>
  <c r="F33" i="4" s="1"/>
  <c r="E32" i="4"/>
  <c r="F32" i="4" s="1"/>
  <c r="E31" i="4"/>
  <c r="F31" i="4" s="1"/>
  <c r="E30" i="4"/>
  <c r="F30" i="4" s="1"/>
  <c r="E29" i="4"/>
  <c r="F29" i="4" s="1"/>
  <c r="E28" i="4"/>
  <c r="F28" i="4" s="1"/>
  <c r="E27" i="4"/>
  <c r="F27" i="4" s="1"/>
  <c r="H7" i="4"/>
  <c r="G7" i="4"/>
  <c r="F7" i="4"/>
  <c r="E7" i="4"/>
  <c r="D7" i="4"/>
  <c r="C7" i="4"/>
  <c r="E8" i="4" l="1"/>
  <c r="E10" i="4" s="1"/>
  <c r="G8" i="4"/>
  <c r="G10" i="4" s="1"/>
  <c r="F39" i="4"/>
  <c r="H8" i="4"/>
  <c r="H10" i="4" s="1"/>
  <c r="F18" i="1"/>
  <c r="D8" i="4"/>
  <c r="F8" i="4"/>
  <c r="F10" i="4" s="1"/>
  <c r="E39" i="4"/>
  <c r="H8" i="3" l="1"/>
  <c r="G8" i="3"/>
  <c r="E8" i="3"/>
  <c r="D8" i="3"/>
  <c r="C8" i="3"/>
  <c r="K7" i="3"/>
  <c r="J7" i="3"/>
  <c r="F7" i="3"/>
  <c r="K6" i="3"/>
  <c r="L6" i="3" s="1"/>
  <c r="J6" i="3"/>
  <c r="F6" i="3"/>
  <c r="K5" i="3"/>
  <c r="J5" i="3"/>
  <c r="F5" i="3"/>
  <c r="H3" i="3"/>
  <c r="G3" i="3"/>
  <c r="F3" i="3"/>
  <c r="P44" i="2"/>
  <c r="L7" i="3" l="1"/>
  <c r="L8" i="3" s="1"/>
  <c r="F8" i="3"/>
  <c r="I5" i="3"/>
  <c r="J8" i="3"/>
  <c r="I8" i="3"/>
  <c r="I6" i="3"/>
  <c r="K8" i="3"/>
  <c r="I7" i="3"/>
  <c r="I42" i="2"/>
  <c r="H42" i="2"/>
  <c r="I41" i="2"/>
  <c r="H41" i="2"/>
  <c r="I40" i="2"/>
  <c r="H40" i="2"/>
  <c r="G39" i="2"/>
  <c r="F39" i="2"/>
  <c r="E39" i="2"/>
  <c r="B39" i="2"/>
  <c r="I38" i="2"/>
  <c r="H38" i="2"/>
  <c r="F37" i="2"/>
  <c r="E37" i="2"/>
  <c r="B37" i="2"/>
  <c r="I36" i="2"/>
  <c r="H36" i="2"/>
  <c r="G35" i="2"/>
  <c r="F35" i="2"/>
  <c r="E35" i="2"/>
  <c r="B35" i="2"/>
  <c r="C25" i="2"/>
  <c r="B25" i="2"/>
  <c r="C23" i="2"/>
  <c r="B23" i="2"/>
  <c r="C20" i="2"/>
  <c r="B20" i="2"/>
  <c r="E19" i="2"/>
  <c r="E18" i="2"/>
  <c r="E17" i="2"/>
  <c r="E14" i="2"/>
  <c r="E13" i="2"/>
  <c r="E12" i="2"/>
  <c r="E5" i="2"/>
  <c r="C40" i="2" s="1"/>
  <c r="E20" i="2" l="1"/>
  <c r="G7" i="2"/>
  <c r="E25" i="2"/>
  <c r="C41" i="2"/>
  <c r="G44" i="2"/>
  <c r="C36" i="2"/>
  <c r="E23" i="2"/>
  <c r="H39" i="2"/>
  <c r="C39" i="2"/>
  <c r="G8" i="2"/>
  <c r="B32" i="2"/>
  <c r="C35" i="2"/>
  <c r="H37" i="2"/>
  <c r="F5" i="2"/>
  <c r="H5" i="2"/>
  <c r="E44" i="2"/>
  <c r="B44" i="2"/>
  <c r="C37" i="2"/>
  <c r="F44" i="2"/>
  <c r="H35" i="2"/>
  <c r="I37" i="2"/>
  <c r="I39" i="2"/>
  <c r="C42" i="2"/>
  <c r="I35" i="2"/>
  <c r="C38" i="2"/>
  <c r="I44" i="2" l="1"/>
  <c r="C44" i="2"/>
  <c r="B8" i="2"/>
  <c r="C8" i="2" s="1"/>
  <c r="M32" i="2"/>
  <c r="C43" i="2"/>
  <c r="E18" i="1"/>
  <c r="D18" i="1"/>
  <c r="L40" i="2" l="1"/>
  <c r="M40" i="2" s="1"/>
  <c r="N40" i="2" s="1"/>
  <c r="O40" i="2" s="1"/>
  <c r="L37" i="2"/>
  <c r="M37" i="2" s="1"/>
  <c r="N37" i="2" s="1"/>
  <c r="O37" i="2" s="1"/>
  <c r="L41" i="2"/>
  <c r="M41" i="2" s="1"/>
  <c r="N41" i="2" s="1"/>
  <c r="O41" i="2" s="1"/>
  <c r="L36" i="2"/>
  <c r="M36" i="2" s="1"/>
  <c r="N36" i="2" s="1"/>
  <c r="O36" i="2" s="1"/>
  <c r="L42" i="2"/>
  <c r="M42" i="2" s="1"/>
  <c r="N42" i="2" s="1"/>
  <c r="O42" i="2" s="1"/>
  <c r="L38" i="2"/>
  <c r="M38" i="2" s="1"/>
  <c r="N38" i="2" s="1"/>
  <c r="O38" i="2" s="1"/>
  <c r="L39" i="2"/>
  <c r="M39" i="2" s="1"/>
  <c r="N39" i="2" s="1"/>
  <c r="O39" i="2" s="1"/>
  <c r="L35" i="2"/>
  <c r="C18" i="1"/>
  <c r="L44" i="2" l="1"/>
  <c r="M35" i="2"/>
  <c r="N35" i="2" l="1"/>
  <c r="M44" i="2"/>
  <c r="O35" i="2" l="1"/>
  <c r="O44" i="2" s="1"/>
  <c r="N44" i="2"/>
</calcChain>
</file>

<file path=xl/sharedStrings.xml><?xml version="1.0" encoding="utf-8"?>
<sst xmlns="http://schemas.openxmlformats.org/spreadsheetml/2006/main" count="447" uniqueCount="319">
  <si>
    <t>Issaquah Creek*</t>
  </si>
  <si>
    <t>Lower Cedar River*</t>
  </si>
  <si>
    <t>Upper Cedar River</t>
  </si>
  <si>
    <t>28 basins in the urban area</t>
  </si>
  <si>
    <t>1 - Seattle/Lake Union</t>
  </si>
  <si>
    <t>10 - Issaquah</t>
  </si>
  <si>
    <t>11 - Lower Cedar</t>
  </si>
  <si>
    <t>2 - PS Shorelines</t>
  </si>
  <si>
    <t>3 - Swamp North</t>
  </si>
  <si>
    <t>4 - Little Bear</t>
  </si>
  <si>
    <t>5 - Samm Rvr Valley</t>
  </si>
  <si>
    <t>6  -Bear/Evans</t>
  </si>
  <si>
    <t>7 - Greater Lake Washington</t>
  </si>
  <si>
    <t>9 - Lk Samm Creeks</t>
  </si>
  <si>
    <t>King</t>
  </si>
  <si>
    <t>Sno co/King co</t>
  </si>
  <si>
    <t>8 - May/Coal (Cedar)</t>
  </si>
  <si>
    <t>12 - Upper Cedar</t>
  </si>
  <si>
    <t>8 - May/Coal</t>
  </si>
  <si>
    <t>Total WRIA 8</t>
  </si>
  <si>
    <t>Total</t>
  </si>
  <si>
    <t>Water Service Areas</t>
  </si>
  <si>
    <t>P-E Well Areas</t>
  </si>
  <si>
    <t>--</t>
  </si>
  <si>
    <t>PE Well Areas</t>
  </si>
  <si>
    <t>Totals</t>
  </si>
  <si>
    <t>Notes:</t>
  </si>
  <si>
    <t>County</t>
  </si>
  <si>
    <t>pvt</t>
  </si>
  <si>
    <t>total</t>
  </si>
  <si>
    <t>oth</t>
  </si>
  <si>
    <r>
      <t>Snohomish County (Past Trends)</t>
    </r>
    <r>
      <rPr>
        <b/>
        <vertAlign val="superscript"/>
        <sz val="11"/>
        <color theme="1"/>
        <rFont val="Calibri"/>
        <family val="2"/>
        <scheme val="minor"/>
      </rPr>
      <t>2</t>
    </r>
  </si>
  <si>
    <t>total building permits</t>
  </si>
  <si>
    <t>Water use by basin</t>
  </si>
  <si>
    <t>Number of permits</t>
  </si>
  <si>
    <t>% of growth</t>
  </si>
  <si>
    <t>pub</t>
  </si>
  <si>
    <t>Urban</t>
  </si>
  <si>
    <t>* = a portion of this basin in the urban area</t>
  </si>
  <si>
    <t>WRIA (Ecology Coverage)</t>
  </si>
  <si>
    <t>2000-2009</t>
  </si>
  <si>
    <t>2010-2017</t>
  </si>
  <si>
    <t>permits per year</t>
  </si>
  <si>
    <t>% of county-wide total</t>
  </si>
  <si>
    <t>WRIA 8</t>
  </si>
  <si>
    <t>PE/yr</t>
  </si>
  <si>
    <t>20 yr est</t>
  </si>
  <si>
    <t>Historic %</t>
  </si>
  <si>
    <t>Water District info</t>
  </si>
  <si>
    <t xml:space="preserve">Ag PD </t>
  </si>
  <si>
    <t>permits</t>
  </si>
  <si>
    <t>% of WRIA total</t>
  </si>
  <si>
    <t>wtr dst (within water district)</t>
  </si>
  <si>
    <t>no dst (outside water district)</t>
  </si>
  <si>
    <t>Forest PD</t>
  </si>
  <si>
    <t>Water service info</t>
  </si>
  <si>
    <t>(derived from KC parcel attribute data)</t>
  </si>
  <si>
    <t>public water system (pub)</t>
  </si>
  <si>
    <t>other</t>
  </si>
  <si>
    <t xml:space="preserve">Existing </t>
  </si>
  <si>
    <t>PE wells</t>
  </si>
  <si>
    <t>error</t>
  </si>
  <si>
    <t>historic growth by KC stream basin</t>
  </si>
  <si>
    <t>39 basins in WRIA 8 within KC</t>
  </si>
  <si>
    <t>52% of the area in rural King County</t>
  </si>
  <si>
    <t>permits/year</t>
  </si>
  <si>
    <t>Wells per year + 6% error</t>
  </si>
  <si>
    <t>Total wells in 20 years</t>
  </si>
  <si>
    <t>Growth Forecast Scenarios - New Homes</t>
  </si>
  <si>
    <t>2019 Available Capacity</t>
  </si>
  <si>
    <t>Total PE Wells</t>
  </si>
  <si>
    <t>GeoEngineers Proposed PE Well Allocation</t>
  </si>
  <si>
    <t>Added by GeoEngineers:</t>
  </si>
  <si>
    <t>North Creek HUC = Swamp/North Subbasin (KC proposal)</t>
  </si>
  <si>
    <t xml:space="preserve">Bear Creek - Sammamish HUC = Little Bear Subbasin (KC proposal) </t>
  </si>
  <si>
    <t>Bear Creek HUC = Bear/Evans Subbasin (KC proposal)</t>
  </si>
  <si>
    <t>Total new home forecast (440) = calculated new residential dewllings per year (22) x WREC planning time period (20 years)</t>
  </si>
  <si>
    <t>Period</t>
  </si>
  <si>
    <t>Incorrect (Location, Date, etc.)</t>
  </si>
  <si>
    <t>Other (Test, Municipal, Dewatering, Industrial, Mitigation, UIC, Deepened or Refurbished)</t>
  </si>
  <si>
    <t>1998-2007</t>
  </si>
  <si>
    <t>2008-2018</t>
  </si>
  <si>
    <t>Percent of Total</t>
  </si>
  <si>
    <t>The remaining domestic wells that have been spot checked are located in the following City UGAs: Maple Valley (1), Mukileto (1), Mill Creek (3), Maltby (1), Kirkland (1) and Seattle (1).</t>
  </si>
  <si>
    <t>City UGA</t>
  </si>
  <si>
    <t xml:space="preserve">Mukilteo </t>
  </si>
  <si>
    <t>Mill Creek</t>
  </si>
  <si>
    <t>King co</t>
  </si>
  <si>
    <t>Maltby</t>
  </si>
  <si>
    <t>Kirkland/Seattle</t>
  </si>
  <si>
    <t>Maple Valley</t>
  </si>
  <si>
    <t>Service Area/City Policy Notes:</t>
  </si>
  <si>
    <t>Redmond - PE wells not allowed. No new wells for irrigation that they know of.</t>
  </si>
  <si>
    <t>Sammamish - PE wells not allowed. No known areas that can not be reached by public water.</t>
  </si>
  <si>
    <t>The Highlands - all public water. Most lots have wells for irrigation due to large lawn size.</t>
  </si>
  <si>
    <t>Woodway - all public water. Many lots have wells for irrigation due to large lawn size.</t>
  </si>
  <si>
    <t>Domestic and Irrigation well numbers have been adjusted based on information provided by The Highlands, Olympic View</t>
  </si>
  <si>
    <t xml:space="preserve">       Water &amp; Sewer District, City of Redmond, City of Sammamish and cross-checking well address with UGA boundary.</t>
  </si>
  <si>
    <t>Total Potential Wells in UGA in 20 years</t>
  </si>
  <si>
    <r>
      <t>King County              (Past Trends)</t>
    </r>
    <r>
      <rPr>
        <b/>
        <vertAlign val="superscript"/>
        <sz val="11"/>
        <color theme="1"/>
        <rFont val="Calibri"/>
        <family val="2"/>
        <scheme val="minor"/>
      </rPr>
      <t>1</t>
    </r>
  </si>
  <si>
    <t>Subbasin 4 - Little Bear = Includes Snohomish County "Bear Creek - Sammamish River" HUC</t>
  </si>
  <si>
    <t>Subbasin 6 - Bear/Evans = Includes King County "Bear Creek" and "Evans Creek" basins combined and Snohomish County "Bear Creek" HUC</t>
  </si>
  <si>
    <t xml:space="preserve">Subbasin 9 - Lk Samm creeks = Includes King County "Tibbets Creek" basin </t>
  </si>
  <si>
    <t>Subbasin 3 - Swamp/North = Includes Snohomish County "North Creek" HUC. All UGA wells predicted to be in North Creek portion.</t>
  </si>
  <si>
    <t>3 - Swamp/North</t>
  </si>
  <si>
    <t>Prepared by GeoEngineers</t>
  </si>
  <si>
    <r>
      <rPr>
        <sz val="11"/>
        <color theme="1"/>
        <rFont val="Calibri"/>
        <family val="2"/>
        <scheme val="minor"/>
      </rPr>
      <t xml:space="preserve">Projected PE well growth exceeds capacity in the Bear Creek - Sammamish River HUC.  </t>
    </r>
    <r>
      <rPr>
        <b/>
        <i/>
        <sz val="11"/>
        <color theme="1"/>
        <rFont val="Calibri"/>
        <family val="2"/>
        <scheme val="minor"/>
      </rPr>
      <t>GeoEngineers proposes reallocating the growth to the Bear Creek HUC.</t>
    </r>
  </si>
  <si>
    <t>Total Rounded</t>
  </si>
  <si>
    <t xml:space="preserve">Total Rounded </t>
  </si>
  <si>
    <t>Spot Checked 1998-2007</t>
  </si>
  <si>
    <t>Spot Checked 2008-2018</t>
  </si>
  <si>
    <t>Potential number of new wells based on percentage of past 20 year total (205)</t>
  </si>
  <si>
    <t>Future Permit-Exempt wells</t>
  </si>
  <si>
    <t>Average wells per year (pvt)</t>
  </si>
  <si>
    <t>Average bldg. permits per year</t>
  </si>
  <si>
    <r>
      <t>Total PE Wells</t>
    </r>
    <r>
      <rPr>
        <vertAlign val="superscript"/>
        <sz val="11"/>
        <color theme="1"/>
        <rFont val="Calibri"/>
        <family val="2"/>
        <scheme val="minor"/>
      </rPr>
      <t>4</t>
    </r>
    <r>
      <rPr>
        <b/>
        <sz val="11"/>
        <color theme="1"/>
        <rFont val="Calibri"/>
        <family val="2"/>
        <scheme val="minor"/>
      </rPr>
      <t xml:space="preserve"> per Subbasin</t>
    </r>
  </si>
  <si>
    <r>
      <t>PE Wells in UGA</t>
    </r>
    <r>
      <rPr>
        <vertAlign val="superscript"/>
        <sz val="11"/>
        <color theme="1"/>
        <rFont val="Calibri"/>
        <family val="2"/>
        <scheme val="minor"/>
      </rPr>
      <t>3</t>
    </r>
  </si>
  <si>
    <t>well - private water (pvt)</t>
  </si>
  <si>
    <t>Well</t>
  </si>
  <si>
    <t>Public</t>
  </si>
  <si>
    <t>% well</t>
  </si>
  <si>
    <t>% pub</t>
  </si>
  <si>
    <t>A total of 21 wells logged as "domestic" are actually irrigation wells and were moved to that category.</t>
  </si>
  <si>
    <t>King County - Unincorporated WRIA 8 Growth Projections</t>
  </si>
  <si>
    <t>Snohomish County - Unincorporated WRIA 8 Growth Projections</t>
  </si>
  <si>
    <t>GeoEngineers - Incorporated (UGA) WRIA 8 Growth Projections</t>
  </si>
  <si>
    <t>Total Wells</t>
  </si>
  <si>
    <t>Total Wells Spot Checked</t>
  </si>
  <si>
    <t>Domestic wells (includes Group B wells)</t>
  </si>
  <si>
    <t>Irrigation wells</t>
  </si>
  <si>
    <t>Proposed subbasins</t>
  </si>
  <si>
    <t>Alerwood Water and Wastewater District - expanding service rapidly.</t>
  </si>
  <si>
    <t xml:space="preserve">Note: This tables includes data for wells in Ecology's Well Report database, filtered for a depth greater than 30 feet and diameter 6-8 inches. Ecology does not have the ability to filter for permit-exempt domestic wells. Information in the database is based on records submitted by the driller. Well Report Data and Images released from the Department of Ecology are provided on an “AS IS” basis, without warranty of any kind.   </t>
  </si>
  <si>
    <t>GeoEngineers - UGA Well Log Spot Check</t>
  </si>
  <si>
    <r>
      <rPr>
        <vertAlign val="superscript"/>
        <sz val="11"/>
        <color theme="1"/>
        <rFont val="Calibri"/>
        <family val="2"/>
        <scheme val="minor"/>
      </rPr>
      <t>2</t>
    </r>
    <r>
      <rPr>
        <sz val="11"/>
        <color theme="1"/>
        <rFont val="Calibri"/>
        <family val="2"/>
        <scheme val="minor"/>
      </rPr>
      <t xml:space="preserve"> = Based on 20 year estimate of potential new permit exempt wells in unincorporated Snohomish County.  59 of the wells projected for "Little Bear" are reallocated to "Bear/Evans" to account for shortfall of available parcels in Little Bear Creek subbasin.</t>
    </r>
  </si>
  <si>
    <r>
      <rPr>
        <vertAlign val="superscript"/>
        <sz val="11"/>
        <color theme="1"/>
        <rFont val="Calibri"/>
        <family val="2"/>
        <scheme val="minor"/>
      </rPr>
      <t>3</t>
    </r>
    <r>
      <rPr>
        <sz val="11"/>
        <color theme="1"/>
        <rFont val="Calibri"/>
        <family val="2"/>
        <scheme val="minor"/>
      </rPr>
      <t xml:space="preserve"> = Based on spot check of Ecology well log database. Accounts for potential wells within the incorporated Urban Growth Area over the 20-year planning period.</t>
    </r>
  </si>
  <si>
    <r>
      <t xml:space="preserve">Growth Projections for new PE wells in WRIA 8 - Cedar-Sammamish
</t>
    </r>
    <r>
      <rPr>
        <b/>
        <sz val="14"/>
        <color theme="1"/>
        <rFont val="Calibri"/>
        <family val="2"/>
        <scheme val="minor"/>
      </rPr>
      <t>2018-2038</t>
    </r>
  </si>
  <si>
    <t>Draft 8/9/19</t>
  </si>
  <si>
    <t>Wells 
(private water)</t>
  </si>
  <si>
    <t>North Creek (Swamp/North Subbasin)</t>
  </si>
  <si>
    <t>Bear Creek - Sammamish River (Little Bear Subbasin)</t>
  </si>
  <si>
    <t>Bear Creek (Bear/Evans Subbasin)</t>
  </si>
  <si>
    <t>Bear Creek*
(6-Bear/Evans Subbasin)</t>
  </si>
  <si>
    <t>Tibbetts Creek* 
(9-Lk Samm Creeks Subbasin)</t>
  </si>
  <si>
    <t>May Creek*
(8-May/Coal Subbasin)</t>
  </si>
  <si>
    <r>
      <t xml:space="preserve">Stream Basin w/ permits
</t>
    </r>
    <r>
      <rPr>
        <sz val="9"/>
        <color theme="1"/>
        <rFont val="Calibri"/>
        <family val="2"/>
        <scheme val="minor"/>
      </rPr>
      <t>(proposed subbasin, if different name)</t>
    </r>
  </si>
  <si>
    <t>Evans Creek*
(6-Bear/Evans Subbasin)</t>
  </si>
  <si>
    <t>Sammamish River*
(Samm Rivr Valley)</t>
  </si>
  <si>
    <t xml:space="preserve">SNOHOMISH COUNTY                                          
WRIA 8 - HUC 12 Name
(proposed subbasin name)
</t>
  </si>
  <si>
    <t>Past Trends</t>
  </si>
  <si>
    <t>Capacity Surplus or Shortfall       - Past Trends Scenario -</t>
  </si>
  <si>
    <t>Sub-basin w/ permits</t>
  </si>
  <si>
    <t>Distribution of growth</t>
  </si>
  <si>
    <t>%pub</t>
  </si>
  <si>
    <t>%pvt</t>
  </si>
  <si>
    <t>Seattle/ Lake Union</t>
  </si>
  <si>
    <t>Puget Sound Shorelines</t>
  </si>
  <si>
    <t>Swamp/North</t>
  </si>
  <si>
    <t>Little Bear Creek</t>
  </si>
  <si>
    <t>Samm River Valley</t>
  </si>
  <si>
    <t>Bear/Evans</t>
  </si>
  <si>
    <t>Greater Lake Washington</t>
  </si>
  <si>
    <t>May/Coal (Cedar)</t>
  </si>
  <si>
    <t>Lake Samm creeks</t>
  </si>
  <si>
    <t>Issaquah Creek</t>
  </si>
  <si>
    <t>Lower Cedar</t>
  </si>
  <si>
    <t>Upper Cedar</t>
  </si>
  <si>
    <t>Sub-basin delineations</t>
  </si>
  <si>
    <t>WREC committee tentatively agreed to 12 sub-basins</t>
  </si>
  <si>
    <t>Water district boundaries</t>
  </si>
  <si>
    <t>Water Use Projection</t>
  </si>
  <si>
    <t xml:space="preserve">Notes: </t>
  </si>
  <si>
    <t>The Permit-Exempt Well Potential Assessment is outlined in red</t>
  </si>
  <si>
    <t>Columns in yellow include redistribution of wells in the 20 year growth projection, based on the permit-exempt well potential assessment done by King County.</t>
  </si>
  <si>
    <r>
      <rPr>
        <b/>
        <i/>
        <sz val="11"/>
        <color rgb="FFFF0000"/>
        <rFont val="Calibri"/>
        <family val="2"/>
        <scheme val="minor"/>
      </rPr>
      <t>Red numbers</t>
    </r>
    <r>
      <rPr>
        <i/>
        <sz val="11"/>
        <color theme="1"/>
        <rFont val="Calibri"/>
        <family val="2"/>
        <scheme val="minor"/>
      </rPr>
      <t xml:space="preserve"> indicate a shortfall (more 20 year projected PE wells than parcels/DU)</t>
    </r>
  </si>
  <si>
    <r>
      <rPr>
        <b/>
        <i/>
        <sz val="11"/>
        <color rgb="FF00B0F0"/>
        <rFont val="Calibri"/>
        <family val="2"/>
        <scheme val="minor"/>
      </rPr>
      <t>Blue numbers</t>
    </r>
    <r>
      <rPr>
        <i/>
        <sz val="11"/>
        <color theme="1"/>
        <rFont val="Calibri"/>
        <family val="2"/>
        <scheme val="minor"/>
      </rPr>
      <t xml:space="preserve"> indicate redistribution of 20 year PE projected numbers</t>
    </r>
  </si>
  <si>
    <t>WRIA 8 - 20 year PE Well Projection by Subbasin</t>
  </si>
  <si>
    <t xml:space="preserve">
Total wells in 20 years + 6% error</t>
  </si>
  <si>
    <t>20 year</t>
  </si>
  <si>
    <t>building permits</t>
  </si>
  <si>
    <t>WRIA 8 - Permit-Exempt Well Potential Assessment</t>
  </si>
  <si>
    <t>WRIA 8 - Historic Growth and Water Use by King County Stream Basin</t>
  </si>
  <si>
    <t>WRIA 8 - Historic Growth and Water Use by Subbasin</t>
  </si>
  <si>
    <t>WRIA 8 - 20 year PE Well Projection by KC Stream Basin</t>
  </si>
  <si>
    <t>Draft 9/25/19</t>
  </si>
  <si>
    <t>subbasin</t>
  </si>
  <si>
    <t>Assessment of potential parcels for future growth</t>
  </si>
  <si>
    <t>Inside</t>
  </si>
  <si>
    <t>Outside</t>
  </si>
  <si>
    <t>public connection</t>
  </si>
  <si>
    <t>PE sourced</t>
  </si>
  <si>
    <t>Sub-basins</t>
  </si>
  <si>
    <t>Number of parcels</t>
  </si>
  <si>
    <t>Number of Dwelling Units (DU)</t>
  </si>
  <si>
    <t>parcels</t>
  </si>
  <si>
    <t>DU</t>
  </si>
  <si>
    <t>Parcels</t>
  </si>
  <si>
    <t>20 year well projection (incl error)</t>
  </si>
  <si>
    <t>Shortfall (red if present) in 20 year well projection</t>
  </si>
  <si>
    <t>--------</t>
  </si>
  <si>
    <t>Redistribution - 20 year well projection</t>
  </si>
  <si>
    <t>draft as of 9/25/19</t>
  </si>
  <si>
    <r>
      <rPr>
        <vertAlign val="superscript"/>
        <sz val="11"/>
        <color theme="1"/>
        <rFont val="Calibri"/>
        <family val="2"/>
        <scheme val="minor"/>
      </rPr>
      <t>1</t>
    </r>
    <r>
      <rPr>
        <sz val="11"/>
        <color theme="1"/>
        <rFont val="Calibri"/>
        <family val="2"/>
        <scheme val="minor"/>
      </rPr>
      <t xml:space="preserve"> = Based on 20 year estimate of potential new permit exempt wells plus 6% error in unincorporated King County. 1 well from Upper Cedar is reallocated to Lower Cedar.</t>
    </r>
  </si>
  <si>
    <t>Proposed Subbasins*</t>
  </si>
  <si>
    <t>* WRIA 8 WREC  tentatively agreed to 12 subbasins at the August meeting</t>
  </si>
  <si>
    <t>(KC building permitting data)</t>
  </si>
  <si>
    <r>
      <rPr>
        <vertAlign val="superscript"/>
        <sz val="11"/>
        <color theme="1"/>
        <rFont val="Calibri"/>
        <family val="2"/>
        <scheme val="minor"/>
      </rPr>
      <t>4</t>
    </r>
    <r>
      <rPr>
        <sz val="11"/>
        <color theme="1"/>
        <rFont val="Calibri"/>
        <family val="2"/>
        <scheme val="minor"/>
      </rPr>
      <t xml:space="preserve"> = "PE wells" is used to refer to new homes associated with new permit-exempt wells and also new homes added to existing wells on group systems relying on permit-exempt wells. </t>
    </r>
  </si>
  <si>
    <t>Prepared by GeoEngineers from technical workgroup meeting notes. DRAFT - for internal used by WRIA 7, 8, &amp; 9 WRECs and technical workgroups.</t>
  </si>
  <si>
    <t>DRAFT - Updated 9/23/19</t>
  </si>
  <si>
    <r>
      <rPr>
        <vertAlign val="superscript"/>
        <sz val="11"/>
        <rFont val="Calibri"/>
        <family val="2"/>
        <scheme val="minor"/>
      </rPr>
      <t>4</t>
    </r>
    <r>
      <rPr>
        <sz val="11"/>
        <rFont val="Calibri"/>
        <family val="2"/>
        <scheme val="minor"/>
      </rPr>
      <t xml:space="preserve"> 1/4 mile for rural cluster subdivisions was enacted in code in 2009; 100 foot buffer is proposed code and would be from any boundary line (not the centroid)</t>
    </r>
  </si>
  <si>
    <r>
      <rPr>
        <vertAlign val="superscript"/>
        <sz val="11"/>
        <rFont val="Calibri"/>
        <family val="2"/>
        <scheme val="minor"/>
      </rPr>
      <t>3</t>
    </r>
    <r>
      <rPr>
        <sz val="11"/>
        <rFont val="Calibri"/>
        <family val="2"/>
        <scheme val="minor"/>
      </rPr>
      <t xml:space="preserve"> Information from County Assessor data; allows differentiation of permit data (e.g. residence vs. garage).</t>
    </r>
  </si>
  <si>
    <r>
      <rPr>
        <vertAlign val="superscript"/>
        <sz val="11"/>
        <rFont val="Calibri"/>
        <family val="2"/>
        <scheme val="minor"/>
      </rPr>
      <t>2</t>
    </r>
    <r>
      <rPr>
        <sz val="11"/>
        <rFont val="Calibri"/>
        <family val="2"/>
        <scheme val="minor"/>
      </rPr>
      <t xml:space="preserve"> King County reviewed historic building permits and assessors data to estimate % of homes likely to connect to water service within water service areas. Parcels withoutside water service areas are projected to rely on a well.</t>
    </r>
  </si>
  <si>
    <r>
      <rPr>
        <vertAlign val="superscript"/>
        <sz val="11"/>
        <rFont val="Calibri"/>
        <family val="2"/>
        <scheme val="minor"/>
      </rPr>
      <t>1</t>
    </r>
    <r>
      <rPr>
        <sz val="11"/>
        <rFont val="Calibri"/>
        <family val="2"/>
        <scheme val="minor"/>
      </rPr>
      <t xml:space="preserve"> Information from County Assessor data.</t>
    </r>
  </si>
  <si>
    <t>Snohomish County assumed it would be difficult to site a home, septic and well on a lot less than 1/2 acre.</t>
  </si>
  <si>
    <t>no parcels under 1/2 acre</t>
  </si>
  <si>
    <t>Based on assumption from water availability study, that it would be difficult to site a home, septic system, and well on a lot less than 1 acre.</t>
  </si>
  <si>
    <t>no parcels &lt;1 acre</t>
  </si>
  <si>
    <t>Parcel size</t>
  </si>
  <si>
    <t>maximum density allowed by current zoning</t>
  </si>
  <si>
    <t>"Parcel" PE well potential based on one unit per parcel. "Dwelling Unit" PE well potential based on subdividing to maximum density allowed by current zoning.</t>
  </si>
  <si>
    <t>Subdivision/zoning changes</t>
  </si>
  <si>
    <t>Did not exclude TDR and easements. Snohomish County TDR program covers a smaller land area.</t>
  </si>
  <si>
    <t xml:space="preserve"> </t>
  </si>
  <si>
    <t>Easements</t>
  </si>
  <si>
    <t>In most cases, would be restricted from building in critical areas.</t>
  </si>
  <si>
    <t>Outside critical areas: wetlands, steep slopes, stream corridors, stream buffers. Did not exclude flood plains.</t>
  </si>
  <si>
    <t xml:space="preserve">Based on parcel size assumption and restrictions on building in critical areas. </t>
  </si>
  <si>
    <t>≥1 ac of parcel area outside floodway and severe channel migration hazard areas</t>
  </si>
  <si>
    <t>Critical areas</t>
  </si>
  <si>
    <t>did not exclude agricultural lands. Snohomish county does not have agricultural production districts.</t>
  </si>
  <si>
    <t>outside agricultural production districts; not enrolled in Farmland Preservation Program</t>
  </si>
  <si>
    <t>Agricultural lands</t>
  </si>
  <si>
    <t>outside state/national forest lands</t>
  </si>
  <si>
    <t>King county has purchased development rights in many of the forest production districts. Zoning in those areas is very low density (80 acres).</t>
  </si>
  <si>
    <t>outside forest production districts</t>
  </si>
  <si>
    <t>Forest lands</t>
  </si>
  <si>
    <t>outside government property and parks</t>
  </si>
  <si>
    <t>not owned by public agencies</t>
  </si>
  <si>
    <t>Public ownership</t>
  </si>
  <si>
    <t>Snohomish County has water system infrastructure data available for internal use only. Water purveyors think that 100 feet is a very conservative assumption for single-family connections.</t>
  </si>
  <si>
    <r>
      <t>&gt;100 ft from water distribution lines (single-family lot, not subdividable); &gt;1/4 mi from water distribution lines (subdividable)</t>
    </r>
    <r>
      <rPr>
        <vertAlign val="superscript"/>
        <sz val="11"/>
        <rFont val="Calibri"/>
        <family val="2"/>
        <scheme val="minor"/>
      </rPr>
      <t>4</t>
    </r>
  </si>
  <si>
    <t>King County does not have county-wide data on water system infrastructure. They will look at historic rates of connection to water systems within water service areas in order to come up with a likelihood of connection for future development.</t>
  </si>
  <si>
    <r>
      <t>% within water service area likely to connect</t>
    </r>
    <r>
      <rPr>
        <vertAlign val="superscript"/>
        <sz val="11"/>
        <rFont val="Calibri"/>
        <family val="2"/>
        <scheme val="minor"/>
      </rPr>
      <t>2</t>
    </r>
  </si>
  <si>
    <t>Water service</t>
  </si>
  <si>
    <t xml:space="preserve">Counties have jurisdiction for permitting in unincorporated areas. </t>
  </si>
  <si>
    <t>outside UGAs (incl cities)</t>
  </si>
  <si>
    <t>Growth area</t>
  </si>
  <si>
    <t>no exclusions</t>
  </si>
  <si>
    <t>Current zoning</t>
  </si>
  <si>
    <r>
      <t>vacant parcels</t>
    </r>
    <r>
      <rPr>
        <vertAlign val="superscript"/>
        <sz val="11"/>
        <rFont val="Calibri"/>
        <family val="2"/>
        <scheme val="minor"/>
      </rPr>
      <t>3</t>
    </r>
  </si>
  <si>
    <t>Used as a proxy for vacant land that is unlikely to have an existing home or well</t>
  </si>
  <si>
    <r>
      <t>&lt;$10k appraised improvements</t>
    </r>
    <r>
      <rPr>
        <vertAlign val="superscript"/>
        <sz val="11"/>
        <rFont val="Calibri"/>
        <family val="2"/>
        <scheme val="minor"/>
      </rPr>
      <t>1</t>
    </r>
  </si>
  <si>
    <t>Current on-site development</t>
  </si>
  <si>
    <t>Justification</t>
  </si>
  <si>
    <t>Snohomish County
Rural Capacity Anlaysis</t>
  </si>
  <si>
    <t>King County
PE Well Potential Assessment</t>
  </si>
  <si>
    <t>Screening Category</t>
  </si>
  <si>
    <t>Based on parcel-scale GIS identification and classification of lands with potential for development of homes that will rely on a permit-exempt well. Requires a number of assumptions regarding how specific land categories are treated.</t>
  </si>
  <si>
    <t>DRAFT            Permit-Exempt Well Potential Assessment and Rural Capacity Analysis - Assumptions Matrix</t>
  </si>
  <si>
    <t xml:space="preserve">neutral - site-specific variances may be granted. King County has purchased parcels in the channel migration hazard zone. </t>
  </si>
  <si>
    <t>Excludes parcels with less than one acre outside of the floodway and the severe channel migration hazard areas.  If parcels extend outside these mapped areas and have &gt;1 ac of land, they are  included in the PE well potential assessment.</t>
  </si>
  <si>
    <t>under count potential - new homes could be built within the APD</t>
  </si>
  <si>
    <t>Excludes parcels within agricultural production districts</t>
  </si>
  <si>
    <t xml:space="preserve">neutral </t>
  </si>
  <si>
    <t xml:space="preserve">Excludes parcels within forest production districts. Zoning is low density (80 acres). King County has purchased development rights in many parcels in the forest production district. </t>
  </si>
  <si>
    <t>minimal under count potential - state agency lands may be sold to private holdings</t>
  </si>
  <si>
    <t>Excludes parcels owned by public agencies.</t>
  </si>
  <si>
    <t>minimal undercount potential</t>
  </si>
  <si>
    <t>Excludes parcels inside UGAs (including cities) because those homes will have an urban level services and most will be on public water.</t>
  </si>
  <si>
    <t>under count - there may be improvements &gt;$10k that do not currently have an associated water use and could be developed with a new home and well in the future (e.g. a garage)</t>
  </si>
  <si>
    <t>Excludes all parcels with &gt;$10k appraised approvements as a proxy for identifying land that is already developed.</t>
  </si>
  <si>
    <t>under count - some smaller parcels may have new wells</t>
  </si>
  <si>
    <t>Excludes parcels smaller than 1 acre. Parcel size of 1 acres is based on requirements for siting the home, well and septic system.</t>
  </si>
  <si>
    <t>Exclusions (assumes 0 new homes and PE wells if the parcel meets the following exclusion criteria):</t>
  </si>
  <si>
    <t xml:space="preserve">Over count - does not factor in expansion of water lines. Does not factor in King County's efforts to educate and encourage connection to water service, where available (closing loopholes in the permitting process) </t>
  </si>
  <si>
    <t xml:space="preserve">Assumes new homes located within water service areas will connect to water service at the same rates as historic rates. Method: Matched building permits with parcel information from the Assessor's office to identify water source as "public" (water service) or "private" (well). Used this to identify past water service connection rates within water service areas.  King County does not have county-wide data on water system infrastructure. </t>
  </si>
  <si>
    <t>Over count - some homes might connect to a small group A system or a group B system that has a water right</t>
  </si>
  <si>
    <t xml:space="preserve">Assumes parcels outside large Group A water service areas will use a PE well. </t>
  </si>
  <si>
    <t>neutral - there may be rural cluster subdivisions that would require water service due to caps on water use from permit-exempt wells. There may also be additional parcels that could subdivide if the homeowner requests a variance (e.g. if the parcel is 9 acres, zoning is RA-5, and the landowner wants to have two homes).</t>
  </si>
  <si>
    <t xml:space="preserve">"Dwelling Unit" PE potential based on subdividing to maximum density allowed by current zoning. </t>
  </si>
  <si>
    <t>PE Well Potential Assessment</t>
  </si>
  <si>
    <t xml:space="preserve">Over count - There were fewer wells identified as domestic in UGAs between 2008-2018 than the previous period of 1998-2007, and this trend is anticipated to continue. </t>
  </si>
  <si>
    <t xml:space="preserve">GeoEngineers added potential PE wells in UGAs based on analysis of wells logs from 1998-2018. The well log database does not identify wells as permit-exempt domestic so screening information was used to identify the wells likley to be permit-exempt and for houshold use. </t>
  </si>
  <si>
    <t>Over count - 6% error added to create the 20-year PE well estimate.</t>
  </si>
  <si>
    <t xml:space="preserve">King county used the "other" category to calculate an error of 6% (of the total number of building permits). The "other" category for water service info includes parcel information with "unknown" listed for water source (likely vacant land) and where the building permit data and parcel attribute data did not match up. </t>
  </si>
  <si>
    <t xml:space="preserve">Assumes building permits for homes outside large Group A water service areas use a PE well. </t>
  </si>
  <si>
    <t>Analyzed building permit data from 2000-2017. King County compared this data with information from Vision 2040 and population data and is confident with this time period to project into the future.</t>
  </si>
  <si>
    <t>Growth Projections</t>
  </si>
  <si>
    <r>
      <rPr>
        <b/>
        <u/>
        <sz val="14"/>
        <color rgb="FF00B0F0"/>
        <rFont val="Calibri"/>
        <family val="2"/>
        <scheme val="minor"/>
      </rPr>
      <t>Under count</t>
    </r>
    <r>
      <rPr>
        <b/>
        <u/>
        <sz val="14"/>
        <color theme="1"/>
        <rFont val="Calibri"/>
        <family val="2"/>
        <scheme val="minor"/>
      </rPr>
      <t xml:space="preserve"> new well potential or</t>
    </r>
    <r>
      <rPr>
        <b/>
        <u/>
        <sz val="14"/>
        <color theme="7"/>
        <rFont val="Calibri"/>
        <family val="2"/>
        <scheme val="minor"/>
      </rPr>
      <t xml:space="preserve"> over count</t>
    </r>
    <r>
      <rPr>
        <b/>
        <u/>
        <sz val="14"/>
        <color theme="1"/>
        <rFont val="Calibri"/>
        <family val="2"/>
        <scheme val="minor"/>
      </rPr>
      <t>?</t>
    </r>
  </si>
  <si>
    <t>Assumptions:</t>
  </si>
  <si>
    <t>King County Growth Projections and PE Well Potential</t>
  </si>
  <si>
    <t>potential overcount - subdivsions may not use RCS (unlikely)</t>
  </si>
  <si>
    <t>Capacity assignments include subdivision potential of both vacant and underdeveloped lots based on current zoning.  Rural zoning is very stable due to GMA requirements - very unlikely to upzone the rural areas.  UGA expansion into rural areas would substantially increase capacity but at urban densities the only option is connect to public water.</t>
  </si>
  <si>
    <t>Under count - Slightly smaller parcels could be on wells (?)</t>
  </si>
  <si>
    <t>Parcels .5 acre and larger - this size was selected based on area and separation requirements for well, septic, house</t>
  </si>
  <si>
    <t>Over count - water service may extend further than the 100' buffer used to determine water service area.</t>
  </si>
  <si>
    <t>Rural and resource lands (ag and private forest lands included) outside of the exclusion areas and outside of the water service areas.</t>
  </si>
  <si>
    <t>P-E Well Areas (assumes new home will rely on new PE well):</t>
  </si>
  <si>
    <t>Most likely an under count of new wells; the providers may decline to provide service.</t>
  </si>
  <si>
    <t>Subdividable parcels within 1/4 mile of water lines - county code requires that RCS hook up to existing water system if within 1/4 mile of the system and the provider approves the hook-up.  There will be some that do not hook up due to system delivery issues by the provider.  No current data to test this assumption due to vesting timelines for RCS.</t>
  </si>
  <si>
    <t>this could go either way - extensions are known to occur at much greater distance; or water provider may not approve connection due to system issues.</t>
  </si>
  <si>
    <t>Sfr parcels within 100 feet of an existing water line - rural parcels are often large, (ex. one square acre is 208'x208'). 100' is the proposed requirement in the county's draft water code.</t>
  </si>
  <si>
    <t>Public Water Service Areas (assumes new home will hook to public water):</t>
  </si>
  <si>
    <t>minimal under count potential</t>
  </si>
  <si>
    <t>Excludes state and national forest lands - state agency lands may be sold to private holdings. (Note: Does not exclude private forest lands)</t>
  </si>
  <si>
    <t>Govt property and parks - used for govt purposes and very unlikely to convert to other uses; with possible exception of school properties - slightly higher risk of conversion to non-govt property.</t>
  </si>
  <si>
    <t>Unicorporated UGAs - urban level of services, most will be on public water. Since charging $500 for new wells, zero have been located within UGA.</t>
  </si>
  <si>
    <t>Cities - urban level services, most will be on public water</t>
  </si>
  <si>
    <t>Exclusion Areas (assumes 0 new P-E wells in the following areas):</t>
  </si>
  <si>
    <t>slight over count</t>
  </si>
  <si>
    <t>Uses capacity analysis conducted in 2011 adjusted for new growth 2012-2018 (parcel based future capacity). This anaysis excludes known critical areas from developable land base. There are unknown critical areas where further development may be restricted thereby reducing capacity.</t>
  </si>
  <si>
    <t>Assumes that all subdivisions will use the Rural Cluster option (greatest capacity option if eligible for density bonus)</t>
  </si>
  <si>
    <t>neutral</t>
  </si>
  <si>
    <t>Includes vacant and underdeveloped  parcels that are large enough to subdivide given the underlying zoning (ex. One house on twenty acres in an R-5 zone)</t>
  </si>
  <si>
    <t>Includes vacant parcels of .5 acre or larger in rural and resource areas; including private forest lands (based on requirements for accomodating the home, well and septic system)</t>
  </si>
  <si>
    <t>Rural Capacity Analysis</t>
  </si>
  <si>
    <t>potential over count - an expansion of the UGA would lead to higher density development, expansion of water and sewer systems, and more connections to water service.</t>
  </si>
  <si>
    <t>Assumes no change in the Urban Growth Area.</t>
  </si>
  <si>
    <t>Snohomish County Growth Projections and Rural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</si>
</sst>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9"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vertAlign val="superscript"/>
      <sz val="11"/>
      <color theme="1"/>
      <name val="Calibri"/>
      <family val="2"/>
      <scheme val="minor"/>
    </font>
    <font>
      <b/>
      <vertAlign val="superscript"/>
      <sz val="11"/>
      <color theme="1"/>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b/>
      <sz val="14"/>
      <color theme="1"/>
      <name val="Calibri"/>
      <family val="2"/>
      <scheme val="minor"/>
    </font>
    <font>
      <sz val="9"/>
      <color theme="1"/>
      <name val="Calibri"/>
      <family val="2"/>
      <scheme val="minor"/>
    </font>
    <font>
      <b/>
      <i/>
      <sz val="11"/>
      <color rgb="FFFF0000"/>
      <name val="Calibri"/>
      <family val="2"/>
      <scheme val="minor"/>
    </font>
    <font>
      <b/>
      <i/>
      <sz val="11"/>
      <color rgb="FF00B0F0"/>
      <name val="Calibri"/>
      <family val="2"/>
      <scheme val="minor"/>
    </font>
    <font>
      <sz val="11"/>
      <color rgb="FF00B0F0"/>
      <name val="Calibri"/>
      <family val="2"/>
      <scheme val="minor"/>
    </font>
    <font>
      <b/>
      <sz val="11"/>
      <color rgb="FF00B0F0"/>
      <name val="Calibri"/>
      <family val="2"/>
      <scheme val="minor"/>
    </font>
    <font>
      <i/>
      <sz val="11"/>
      <name val="Calibri"/>
      <family val="2"/>
      <scheme val="minor"/>
    </font>
    <font>
      <vertAlign val="superscript"/>
      <sz val="11"/>
      <name val="Calibri"/>
      <family val="2"/>
      <scheme val="minor"/>
    </font>
    <font>
      <b/>
      <sz val="11"/>
      <name val="Calibri"/>
      <family val="2"/>
      <scheme val="minor"/>
    </font>
    <font>
      <sz val="11"/>
      <color theme="1"/>
      <name val="Calibri"/>
      <family val="2"/>
    </font>
    <font>
      <sz val="11"/>
      <name val="Calibri"/>
      <family val="2"/>
    </font>
    <font>
      <b/>
      <sz val="12"/>
      <name val="Calibri"/>
      <family val="2"/>
      <scheme val="minor"/>
    </font>
    <font>
      <sz val="11"/>
      <color theme="7"/>
      <name val="Calibri"/>
      <family val="2"/>
      <scheme val="minor"/>
    </font>
    <font>
      <b/>
      <u/>
      <sz val="11"/>
      <color theme="1"/>
      <name val="Calibri"/>
      <family val="2"/>
      <scheme val="minor"/>
    </font>
    <font>
      <b/>
      <u/>
      <sz val="14"/>
      <color theme="1"/>
      <name val="Calibri"/>
      <family val="2"/>
      <scheme val="minor"/>
    </font>
    <font>
      <b/>
      <u/>
      <sz val="14"/>
      <color rgb="FF00B0F0"/>
      <name val="Calibri"/>
      <family val="2"/>
      <scheme val="minor"/>
    </font>
    <font>
      <b/>
      <u/>
      <sz val="14"/>
      <color theme="7"/>
      <name val="Calibri"/>
      <family val="2"/>
      <scheme val="minor"/>
    </font>
    <font>
      <sz val="16"/>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BEF"/>
        <bgColor indexed="64"/>
      </patternFill>
    </fill>
    <fill>
      <patternFill patternType="solid">
        <fgColor theme="9" tint="0.79998168889431442"/>
        <bgColor indexed="64"/>
      </patternFill>
    </fill>
    <fill>
      <patternFill patternType="solid">
        <fgColor rgb="FFEFF6FB"/>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auto="1"/>
      </left>
      <right/>
      <top style="thin">
        <color auto="1"/>
      </top>
      <bottom style="thin">
        <color auto="1"/>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right/>
      <top/>
      <bottom style="thin">
        <color indexed="64"/>
      </bottom>
      <diagonal/>
    </border>
    <border>
      <left style="thick">
        <color auto="1"/>
      </left>
      <right/>
      <top style="double">
        <color auto="1"/>
      </top>
      <bottom style="thick">
        <color auto="1"/>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auto="1"/>
      </right>
      <top style="double">
        <color auto="1"/>
      </top>
      <bottom style="thick">
        <color auto="1"/>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9" fontId="7" fillId="0" borderId="0" applyFont="0" applyFill="0" applyBorder="0" applyAlignment="0" applyProtection="0"/>
  </cellStyleXfs>
  <cellXfs count="321">
    <xf numFmtId="0" fontId="0" fillId="0" borderId="0" xfId="0"/>
    <xf numFmtId="0" fontId="2" fillId="0" borderId="0" xfId="0" applyFont="1"/>
    <xf numFmtId="0" fontId="0" fillId="0" borderId="0" xfId="0" applyAlignment="1">
      <alignment horizontal="center"/>
    </xf>
    <xf numFmtId="1" fontId="0" fillId="0" borderId="0" xfId="0" applyNumberFormat="1"/>
    <xf numFmtId="0" fontId="0" fillId="0" borderId="0" xfId="0" applyFill="1" applyBorder="1"/>
    <xf numFmtId="0" fontId="0" fillId="0" borderId="0" xfId="0" applyBorder="1" applyAlignment="1">
      <alignment horizontal="center"/>
    </xf>
    <xf numFmtId="0" fontId="0" fillId="3" borderId="2" xfId="0" applyFill="1" applyBorder="1"/>
    <xf numFmtId="0" fontId="0" fillId="3" borderId="1" xfId="0" applyFill="1" applyBorder="1"/>
    <xf numFmtId="1" fontId="0" fillId="0" borderId="0" xfId="0" applyNumberFormat="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10" xfId="0" applyFont="1" applyBorder="1"/>
    <xf numFmtId="0" fontId="0" fillId="0" borderId="12" xfId="0" applyBorder="1" applyAlignment="1">
      <alignment horizontal="left"/>
    </xf>
    <xf numFmtId="0" fontId="0" fillId="0" borderId="13" xfId="0" applyBorder="1" applyAlignment="1">
      <alignment horizontal="left"/>
    </xf>
    <xf numFmtId="0" fontId="0" fillId="0" borderId="13" xfId="0" applyBorder="1"/>
    <xf numFmtId="0" fontId="0" fillId="0" borderId="4" xfId="0" applyBorder="1" applyAlignment="1">
      <alignment horizontal="center"/>
    </xf>
    <xf numFmtId="0" fontId="1" fillId="0" borderId="10" xfId="0" applyFont="1" applyBorder="1" applyAlignment="1">
      <alignment horizontal="center" vertical="center" wrapText="1"/>
    </xf>
    <xf numFmtId="0" fontId="0" fillId="0" borderId="12" xfId="0" quotePrefix="1" applyBorder="1" applyAlignment="1">
      <alignment horizontal="center"/>
    </xf>
    <xf numFmtId="0" fontId="0" fillId="0" borderId="13" xfId="0" quotePrefix="1" applyBorder="1" applyAlignment="1">
      <alignment horizontal="center"/>
    </xf>
    <xf numFmtId="0" fontId="0" fillId="0" borderId="13" xfId="0" applyBorder="1" applyAlignment="1">
      <alignment horizontal="center"/>
    </xf>
    <xf numFmtId="0" fontId="1" fillId="0" borderId="14" xfId="0" applyFont="1" applyBorder="1" applyAlignment="1">
      <alignment horizontal="center" vertical="center" wrapText="1"/>
    </xf>
    <xf numFmtId="0" fontId="1" fillId="0" borderId="10" xfId="0" applyFont="1" applyBorder="1" applyAlignment="1">
      <alignment horizontal="center" wrapText="1"/>
    </xf>
    <xf numFmtId="0" fontId="0" fillId="0" borderId="12" xfId="0" applyBorder="1" applyAlignment="1">
      <alignment horizontal="center"/>
    </xf>
    <xf numFmtId="1" fontId="0" fillId="0" borderId="13" xfId="0" applyNumberFormat="1" applyBorder="1" applyAlignment="1">
      <alignment horizontal="center"/>
    </xf>
    <xf numFmtId="0" fontId="6" fillId="0" borderId="0" xfId="0" applyFont="1"/>
    <xf numFmtId="0" fontId="1" fillId="0" borderId="16" xfId="0" applyFont="1" applyBorder="1" applyAlignment="1">
      <alignment horizontal="center"/>
    </xf>
    <xf numFmtId="1" fontId="1" fillId="0" borderId="17" xfId="0" applyNumberFormat="1" applyFont="1" applyBorder="1" applyAlignment="1">
      <alignment horizontal="center"/>
    </xf>
    <xf numFmtId="0" fontId="1" fillId="0" borderId="0" xfId="0" applyFont="1" applyFill="1" applyBorder="1" applyAlignment="1">
      <alignment horizontal="center"/>
    </xf>
    <xf numFmtId="0" fontId="1" fillId="0" borderId="18" xfId="0" applyFont="1" applyBorder="1" applyAlignment="1">
      <alignment horizontal="center" vertical="center" wrapText="1"/>
    </xf>
    <xf numFmtId="0" fontId="0" fillId="0" borderId="19" xfId="0" applyBorder="1" applyAlignment="1">
      <alignment horizontal="center"/>
    </xf>
    <xf numFmtId="0" fontId="0" fillId="0" borderId="19" xfId="0" applyBorder="1"/>
    <xf numFmtId="0" fontId="0" fillId="0" borderId="20" xfId="0" applyBorder="1" applyAlignment="1">
      <alignment horizontal="center"/>
    </xf>
    <xf numFmtId="9" fontId="0" fillId="0" borderId="20" xfId="1" applyFont="1"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9" fontId="0" fillId="2" borderId="1" xfId="1" applyFont="1" applyFill="1" applyBorder="1" applyAlignment="1">
      <alignment horizontal="center"/>
    </xf>
    <xf numFmtId="9" fontId="0" fillId="0" borderId="0" xfId="1" applyFont="1" applyAlignment="1">
      <alignment horizontal="center"/>
    </xf>
    <xf numFmtId="0" fontId="0" fillId="0" borderId="0" xfId="0" applyAlignment="1">
      <alignment horizontal="center" vertical="center"/>
    </xf>
    <xf numFmtId="2" fontId="0" fillId="0" borderId="0" xfId="0" applyNumberFormat="1" applyAlignment="1">
      <alignment horizontal="left"/>
    </xf>
    <xf numFmtId="9" fontId="0" fillId="0" borderId="0" xfId="0" applyNumberFormat="1" applyAlignment="1">
      <alignment horizontal="center"/>
    </xf>
    <xf numFmtId="0" fontId="1" fillId="2" borderId="0" xfId="0" applyFont="1" applyFill="1"/>
    <xf numFmtId="0" fontId="1" fillId="2" borderId="0" xfId="0" applyFont="1" applyFill="1" applyAlignment="1">
      <alignment horizontal="center"/>
    </xf>
    <xf numFmtId="0" fontId="0" fillId="2" borderId="0" xfId="0" applyFill="1"/>
    <xf numFmtId="1" fontId="1" fillId="2" borderId="0" xfId="0" applyNumberFormat="1" applyFont="1" applyFill="1" applyAlignment="1">
      <alignment horizontal="center"/>
    </xf>
    <xf numFmtId="0" fontId="0" fillId="0" borderId="1" xfId="0" applyBorder="1"/>
    <xf numFmtId="0" fontId="0" fillId="0" borderId="1" xfId="0" applyBorder="1" applyAlignment="1">
      <alignment horizontal="left"/>
    </xf>
    <xf numFmtId="0" fontId="1" fillId="0" borderId="0" xfId="0" applyFont="1"/>
    <xf numFmtId="2" fontId="0" fillId="4" borderId="0" xfId="0" applyNumberFormat="1" applyFill="1" applyAlignment="1">
      <alignment horizontal="left"/>
    </xf>
    <xf numFmtId="1" fontId="0" fillId="4" borderId="0" xfId="0" applyNumberFormat="1" applyFill="1" applyAlignment="1">
      <alignment horizontal="center"/>
    </xf>
    <xf numFmtId="0" fontId="0" fillId="4" borderId="1" xfId="0" applyFill="1" applyBorder="1" applyAlignment="1">
      <alignment horizontal="center" wrapText="1"/>
    </xf>
    <xf numFmtId="2" fontId="0" fillId="4" borderId="1" xfId="0" applyNumberFormat="1" applyFill="1" applyBorder="1" applyAlignment="1">
      <alignment horizontal="center"/>
    </xf>
    <xf numFmtId="0" fontId="1" fillId="4" borderId="1" xfId="0" applyFont="1" applyFill="1" applyBorder="1" applyAlignment="1">
      <alignment horizontal="center"/>
    </xf>
    <xf numFmtId="1" fontId="1" fillId="4" borderId="0" xfId="0" applyNumberFormat="1" applyFont="1" applyFill="1" applyAlignment="1">
      <alignment horizontal="center"/>
    </xf>
    <xf numFmtId="0" fontId="0" fillId="4" borderId="0" xfId="0" applyFill="1"/>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0" fillId="0" borderId="21" xfId="0" applyBorder="1"/>
    <xf numFmtId="0" fontId="0" fillId="3" borderId="22" xfId="0" applyFill="1" applyBorder="1"/>
    <xf numFmtId="0" fontId="0" fillId="5" borderId="2" xfId="0" applyFill="1" applyBorder="1"/>
    <xf numFmtId="0" fontId="0" fillId="5" borderId="1" xfId="0" applyFill="1" applyBorder="1"/>
    <xf numFmtId="0" fontId="0" fillId="5" borderId="22" xfId="0" applyFill="1" applyBorder="1"/>
    <xf numFmtId="0" fontId="8" fillId="5" borderId="22" xfId="0" applyFont="1" applyFill="1" applyBorder="1"/>
    <xf numFmtId="0" fontId="0" fillId="0" borderId="26" xfId="0" applyBorder="1"/>
    <xf numFmtId="0" fontId="0" fillId="3" borderId="27" xfId="0" applyFill="1" applyBorder="1"/>
    <xf numFmtId="0" fontId="0" fillId="3" borderId="28" xfId="0" applyFill="1" applyBorder="1"/>
    <xf numFmtId="0" fontId="0" fillId="3" borderId="29" xfId="0" applyFill="1" applyBorder="1"/>
    <xf numFmtId="0" fontId="0" fillId="5" borderId="27" xfId="0" applyFill="1" applyBorder="1"/>
    <xf numFmtId="0" fontId="0" fillId="5" borderId="28" xfId="0" applyFill="1" applyBorder="1"/>
    <xf numFmtId="0" fontId="0" fillId="5" borderId="29" xfId="0" applyFill="1" applyBorder="1"/>
    <xf numFmtId="0" fontId="3" fillId="3" borderId="22" xfId="0" applyFont="1" applyFill="1" applyBorder="1"/>
    <xf numFmtId="0" fontId="0" fillId="0" borderId="34" xfId="0" applyBorder="1"/>
    <xf numFmtId="0" fontId="0" fillId="0" borderId="35" xfId="0" applyBorder="1" applyAlignment="1">
      <alignment horizontal="center"/>
    </xf>
    <xf numFmtId="0" fontId="0" fillId="0" borderId="35" xfId="0" applyBorder="1" applyAlignment="1">
      <alignment horizontal="center" wrapText="1"/>
    </xf>
    <xf numFmtId="0" fontId="0" fillId="0" borderId="36" xfId="0" applyBorder="1" applyAlignment="1">
      <alignment horizontal="center" wrapText="1"/>
    </xf>
    <xf numFmtId="0" fontId="0" fillId="0" borderId="37" xfId="0" applyBorder="1"/>
    <xf numFmtId="0" fontId="0" fillId="0" borderId="38" xfId="0" applyBorder="1"/>
    <xf numFmtId="0" fontId="0" fillId="0" borderId="38" xfId="0" applyBorder="1" applyAlignment="1">
      <alignment horizontal="left"/>
    </xf>
    <xf numFmtId="9" fontId="0" fillId="0" borderId="0" xfId="0" applyNumberFormat="1"/>
    <xf numFmtId="0" fontId="0" fillId="0" borderId="39" xfId="0" applyBorder="1"/>
    <xf numFmtId="0" fontId="0" fillId="0" borderId="40" xfId="0" applyBorder="1"/>
    <xf numFmtId="9" fontId="0" fillId="0" borderId="40" xfId="1" applyFont="1" applyBorder="1" applyAlignment="1">
      <alignment horizontal="center"/>
    </xf>
    <xf numFmtId="9" fontId="0" fillId="0" borderId="41" xfId="1" applyFont="1" applyBorder="1" applyAlignment="1">
      <alignment horizontal="center"/>
    </xf>
    <xf numFmtId="0" fontId="1" fillId="0" borderId="43" xfId="0" applyFont="1" applyBorder="1"/>
    <xf numFmtId="0" fontId="1" fillId="0" borderId="44" xfId="0" applyFont="1" applyBorder="1"/>
    <xf numFmtId="1" fontId="1" fillId="0" borderId="44" xfId="0" applyNumberFormat="1" applyFont="1" applyBorder="1" applyAlignment="1">
      <alignment horizontal="center"/>
    </xf>
    <xf numFmtId="1" fontId="0" fillId="0" borderId="44" xfId="0" applyNumberFormat="1" applyBorder="1" applyAlignment="1">
      <alignment horizontal="center"/>
    </xf>
    <xf numFmtId="1" fontId="0" fillId="0" borderId="6" xfId="0" applyNumberFormat="1" applyBorder="1" applyAlignment="1">
      <alignment horizontal="center"/>
    </xf>
    <xf numFmtId="0" fontId="0" fillId="0" borderId="0" xfId="0" applyAlignment="1">
      <alignment vertical="top" wrapText="1"/>
    </xf>
    <xf numFmtId="0" fontId="0" fillId="6" borderId="9" xfId="0" applyFill="1" applyBorder="1"/>
    <xf numFmtId="0" fontId="0" fillId="6" borderId="1" xfId="0" applyFill="1" applyBorder="1"/>
    <xf numFmtId="0" fontId="0" fillId="6" borderId="22" xfId="0" applyFill="1" applyBorder="1"/>
    <xf numFmtId="0" fontId="0" fillId="6" borderId="31" xfId="0" applyFill="1" applyBorder="1"/>
    <xf numFmtId="0" fontId="0" fillId="6" borderId="30" xfId="0" applyFill="1" applyBorder="1"/>
    <xf numFmtId="0" fontId="0" fillId="6" borderId="28" xfId="0" applyFill="1" applyBorder="1"/>
    <xf numFmtId="0" fontId="0" fillId="6" borderId="29" xfId="0" applyFill="1" applyBorder="1"/>
    <xf numFmtId="0" fontId="0" fillId="0" borderId="0" xfId="0" applyFill="1"/>
    <xf numFmtId="0" fontId="0" fillId="0" borderId="45" xfId="0" applyFill="1" applyBorder="1" applyAlignment="1">
      <alignment horizontal="center" wrapText="1"/>
    </xf>
    <xf numFmtId="0" fontId="0" fillId="0" borderId="0" xfId="0" applyBorder="1"/>
    <xf numFmtId="0" fontId="0" fillId="0" borderId="46" xfId="0" applyBorder="1"/>
    <xf numFmtId="0" fontId="0" fillId="0" borderId="0" xfId="0" applyAlignment="1">
      <alignment horizontal="left" vertical="top" wrapText="1"/>
    </xf>
    <xf numFmtId="0" fontId="0" fillId="0" borderId="47" xfId="0" applyBorder="1" applyAlignment="1">
      <alignment horizontal="center"/>
    </xf>
    <xf numFmtId="0" fontId="0" fillId="0" borderId="9" xfId="0" applyBorder="1"/>
    <xf numFmtId="1" fontId="0" fillId="0" borderId="9" xfId="0" applyNumberFormat="1" applyBorder="1"/>
    <xf numFmtId="2" fontId="0" fillId="0" borderId="38" xfId="0" applyNumberFormat="1" applyBorder="1" applyAlignment="1">
      <alignment horizontal="center"/>
    </xf>
    <xf numFmtId="0" fontId="0" fillId="4" borderId="4" xfId="0" applyFill="1" applyBorder="1" applyAlignment="1">
      <alignment horizontal="center"/>
    </xf>
    <xf numFmtId="2" fontId="0" fillId="0" borderId="43" xfId="0" applyNumberFormat="1" applyBorder="1" applyAlignment="1">
      <alignment horizontal="center"/>
    </xf>
    <xf numFmtId="1" fontId="0" fillId="4" borderId="6" xfId="0" applyNumberFormat="1" applyFill="1" applyBorder="1" applyAlignment="1">
      <alignment horizontal="center"/>
    </xf>
    <xf numFmtId="1" fontId="0" fillId="0" borderId="0" xfId="0" applyNumberFormat="1" applyBorder="1"/>
    <xf numFmtId="0" fontId="1" fillId="4" borderId="13" xfId="0" applyFont="1" applyFill="1" applyBorder="1" applyAlignment="1">
      <alignment horizontal="center" vertical="center" wrapText="1"/>
    </xf>
    <xf numFmtId="0" fontId="0" fillId="4" borderId="13" xfId="0" applyFill="1" applyBorder="1"/>
    <xf numFmtId="0" fontId="0" fillId="4" borderId="51" xfId="0" applyFill="1" applyBorder="1"/>
    <xf numFmtId="0" fontId="1" fillId="0" borderId="48" xfId="0" applyFont="1" applyFill="1" applyBorder="1"/>
    <xf numFmtId="0" fontId="1" fillId="0" borderId="53" xfId="0" applyFont="1" applyBorder="1" applyAlignment="1">
      <alignment horizontal="center"/>
    </xf>
    <xf numFmtId="0" fontId="1" fillId="0" borderId="48" xfId="0" applyFont="1" applyBorder="1" applyAlignment="1">
      <alignment horizontal="center"/>
    </xf>
    <xf numFmtId="0" fontId="0" fillId="0" borderId="52" xfId="0" applyFill="1" applyBorder="1"/>
    <xf numFmtId="0" fontId="0" fillId="0" borderId="52" xfId="0" quotePrefix="1" applyBorder="1" applyAlignment="1">
      <alignment horizontal="center"/>
    </xf>
    <xf numFmtId="1" fontId="0" fillId="0" borderId="52" xfId="0" applyNumberFormat="1" applyBorder="1" applyAlignment="1">
      <alignment horizontal="center"/>
    </xf>
    <xf numFmtId="0" fontId="1" fillId="0" borderId="54" xfId="0" applyFont="1" applyBorder="1" applyAlignment="1">
      <alignment horizontal="center"/>
    </xf>
    <xf numFmtId="0" fontId="0" fillId="0" borderId="20" xfId="0" applyBorder="1"/>
    <xf numFmtId="0" fontId="0" fillId="0" borderId="20" xfId="0" applyBorder="1" applyAlignment="1">
      <alignment horizontal="center" wrapText="1"/>
    </xf>
    <xf numFmtId="16" fontId="0" fillId="0" borderId="20" xfId="0" applyNumberFormat="1" applyBorder="1" applyAlignment="1">
      <alignment horizontal="center" wrapText="1"/>
    </xf>
    <xf numFmtId="0" fontId="0" fillId="0" borderId="63" xfId="0" applyBorder="1" applyAlignment="1">
      <alignment horizontal="center"/>
    </xf>
    <xf numFmtId="0" fontId="0" fillId="0" borderId="37" xfId="0" applyBorder="1" applyAlignment="1">
      <alignment horizontal="center" wrapText="1"/>
    </xf>
    <xf numFmtId="0" fontId="0" fillId="4" borderId="5" xfId="0" applyFill="1" applyBorder="1" applyAlignment="1">
      <alignment horizontal="center" wrapText="1"/>
    </xf>
    <xf numFmtId="0" fontId="0" fillId="0" borderId="8" xfId="0" applyBorder="1"/>
    <xf numFmtId="0" fontId="0" fillId="0" borderId="0" xfId="0" applyAlignment="1">
      <alignment wrapText="1"/>
    </xf>
    <xf numFmtId="0" fontId="0" fillId="0" borderId="19" xfId="0" applyBorder="1" applyAlignment="1">
      <alignment horizontal="center" wrapText="1"/>
    </xf>
    <xf numFmtId="0" fontId="0" fillId="0" borderId="0" xfId="0" applyBorder="1" applyAlignment="1">
      <alignment horizontal="left"/>
    </xf>
    <xf numFmtId="0" fontId="0" fillId="0" borderId="11" xfId="0" applyBorder="1" applyAlignment="1">
      <alignment horizontal="left" wrapText="1"/>
    </xf>
    <xf numFmtId="0" fontId="0" fillId="0" borderId="7" xfId="0" applyBorder="1"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0" fillId="0" borderId="15" xfId="0" applyBorder="1" applyAlignment="1">
      <alignment wrapText="1"/>
    </xf>
    <xf numFmtId="0" fontId="0" fillId="0" borderId="0" xfId="0" applyBorder="1" applyAlignment="1">
      <alignment wrapText="1"/>
    </xf>
    <xf numFmtId="1" fontId="0" fillId="0" borderId="0" xfId="0" applyNumberFormat="1" applyBorder="1" applyAlignment="1">
      <alignment wrapText="1"/>
    </xf>
    <xf numFmtId="0" fontId="0" fillId="0" borderId="65" xfId="0" applyBorder="1" applyAlignment="1">
      <alignment horizontal="center"/>
    </xf>
    <xf numFmtId="0" fontId="0" fillId="0" borderId="66" xfId="0" applyBorder="1"/>
    <xf numFmtId="0" fontId="0" fillId="0" borderId="67" xfId="0" applyBorder="1"/>
    <xf numFmtId="0" fontId="0" fillId="0" borderId="68" xfId="0" applyBorder="1"/>
    <xf numFmtId="0" fontId="1" fillId="0" borderId="1" xfId="0" applyFont="1" applyBorder="1" applyAlignment="1">
      <alignment horizontal="right"/>
    </xf>
    <xf numFmtId="164" fontId="1" fillId="0" borderId="1" xfId="0" applyNumberFormat="1" applyFont="1" applyBorder="1"/>
    <xf numFmtId="0" fontId="1" fillId="4" borderId="1" xfId="0" applyFont="1" applyFill="1" applyBorder="1" applyAlignment="1">
      <alignment horizontal="center" wrapText="1"/>
    </xf>
    <xf numFmtId="0" fontId="0" fillId="4" borderId="0" xfId="0" applyFill="1" applyAlignment="1"/>
    <xf numFmtId="0" fontId="0" fillId="4" borderId="0" xfId="0" applyFill="1" applyBorder="1"/>
    <xf numFmtId="0" fontId="0" fillId="0" borderId="0" xfId="0" applyBorder="1" applyAlignment="1"/>
    <xf numFmtId="0" fontId="0" fillId="4" borderId="0" xfId="0" applyFill="1" applyBorder="1" applyAlignment="1"/>
    <xf numFmtId="2" fontId="0" fillId="4" borderId="1" xfId="0" applyNumberFormat="1" applyFill="1" applyBorder="1"/>
    <xf numFmtId="0" fontId="0" fillId="4" borderId="1" xfId="0" applyFill="1" applyBorder="1"/>
    <xf numFmtId="0" fontId="2" fillId="0" borderId="0" xfId="0" applyFont="1" applyFill="1"/>
    <xf numFmtId="0" fontId="6" fillId="0" borderId="0" xfId="0" applyFont="1" applyFill="1"/>
    <xf numFmtId="0" fontId="0" fillId="0" borderId="0" xfId="0" applyFill="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2" borderId="71" xfId="0" applyFill="1" applyBorder="1" applyAlignment="1">
      <alignment horizontal="center"/>
    </xf>
    <xf numFmtId="0" fontId="0" fillId="2" borderId="72" xfId="0" applyFill="1" applyBorder="1" applyAlignment="1">
      <alignment horizontal="center"/>
    </xf>
    <xf numFmtId="0" fontId="0" fillId="0" borderId="1" xfId="0" applyFill="1"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1" fontId="0" fillId="0" borderId="0" xfId="0" applyNumberFormat="1" applyBorder="1" applyAlignment="1">
      <alignment horizontal="center"/>
    </xf>
    <xf numFmtId="0" fontId="0" fillId="0" borderId="0" xfId="0" applyBorder="1" applyAlignment="1">
      <alignment horizontal="center" vertical="center"/>
    </xf>
    <xf numFmtId="0" fontId="0" fillId="0" borderId="75" xfId="0"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1" xfId="0"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xf>
    <xf numFmtId="1" fontId="0" fillId="0" borderId="1" xfId="0" applyNumberFormat="1" applyBorder="1" applyAlignment="1">
      <alignment horizontal="center"/>
    </xf>
    <xf numFmtId="1" fontId="0" fillId="7" borderId="1" xfId="0" applyNumberFormat="1" applyFill="1" applyBorder="1" applyAlignment="1">
      <alignment horizontal="center"/>
    </xf>
    <xf numFmtId="0" fontId="0" fillId="0" borderId="75" xfId="0" applyBorder="1" applyAlignment="1"/>
    <xf numFmtId="2" fontId="1" fillId="4" borderId="20" xfId="0" applyNumberFormat="1" applyFont="1" applyFill="1" applyBorder="1"/>
    <xf numFmtId="2" fontId="0" fillId="4" borderId="19" xfId="0" applyNumberFormat="1" applyFill="1" applyBorder="1"/>
    <xf numFmtId="0" fontId="0" fillId="4" borderId="19" xfId="0" applyFill="1" applyBorder="1"/>
    <xf numFmtId="0" fontId="1" fillId="4" borderId="1" xfId="0" applyFont="1" applyFill="1" applyBorder="1" applyAlignment="1">
      <alignment horizontal="center" vertical="center" wrapText="1"/>
    </xf>
    <xf numFmtId="1" fontId="1" fillId="4" borderId="1" xfId="0" applyNumberFormat="1" applyFont="1" applyFill="1" applyBorder="1" applyAlignment="1">
      <alignment horizontal="center"/>
    </xf>
    <xf numFmtId="1" fontId="0" fillId="0" borderId="19" xfId="0" applyNumberFormat="1" applyBorder="1" applyAlignment="1">
      <alignment horizontal="center"/>
    </xf>
    <xf numFmtId="1" fontId="1" fillId="4" borderId="19" xfId="0" applyNumberFormat="1" applyFont="1" applyFill="1" applyBorder="1" applyAlignment="1">
      <alignment horizontal="center"/>
    </xf>
    <xf numFmtId="1" fontId="8" fillId="7" borderId="19" xfId="0" applyNumberFormat="1" applyFont="1" applyFill="1" applyBorder="1" applyAlignment="1">
      <alignment horizontal="center"/>
    </xf>
    <xf numFmtId="0" fontId="0" fillId="2" borderId="47" xfId="0" applyFill="1" applyBorder="1" applyAlignment="1">
      <alignment horizontal="center"/>
    </xf>
    <xf numFmtId="0" fontId="0" fillId="0" borderId="38" xfId="0" applyBorder="1" applyAlignment="1">
      <alignment horizontal="center" vertical="center" wrapText="1"/>
    </xf>
    <xf numFmtId="0" fontId="0" fillId="2" borderId="38" xfId="0" applyFill="1" applyBorder="1" applyAlignment="1">
      <alignment horizontal="center"/>
    </xf>
    <xf numFmtId="1" fontId="0" fillId="0" borderId="38" xfId="0" applyNumberFormat="1" applyFill="1" applyBorder="1" applyAlignment="1">
      <alignment horizontal="center"/>
    </xf>
    <xf numFmtId="1" fontId="0" fillId="0" borderId="83" xfId="0" applyNumberFormat="1" applyFill="1" applyBorder="1" applyAlignment="1">
      <alignment horizontal="center"/>
    </xf>
    <xf numFmtId="1" fontId="0" fillId="0" borderId="85" xfId="0" applyNumberFormat="1" applyBorder="1" applyAlignment="1">
      <alignment horizontal="center"/>
    </xf>
    <xf numFmtId="1" fontId="0" fillId="0" borderId="62" xfId="0" applyNumberFormat="1" applyBorder="1" applyAlignment="1">
      <alignment horizontal="center"/>
    </xf>
    <xf numFmtId="1" fontId="0" fillId="0" borderId="62" xfId="0" quotePrefix="1" applyNumberFormat="1" applyBorder="1" applyAlignment="1">
      <alignment horizontal="center"/>
    </xf>
    <xf numFmtId="0" fontId="0" fillId="0" borderId="33" xfId="0" applyBorder="1" applyAlignment="1">
      <alignment horizontal="center"/>
    </xf>
    <xf numFmtId="0" fontId="0" fillId="0" borderId="4" xfId="0" applyBorder="1" applyAlignment="1">
      <alignment horizontal="center" vertical="center" wrapText="1"/>
    </xf>
    <xf numFmtId="0" fontId="1" fillId="7" borderId="4" xfId="0" applyFont="1" applyFill="1" applyBorder="1" applyAlignment="1">
      <alignment horizontal="center" vertical="center" wrapText="1"/>
    </xf>
    <xf numFmtId="0" fontId="1" fillId="7" borderId="4" xfId="0" applyFont="1" applyFill="1" applyBorder="1" applyAlignment="1">
      <alignment horizontal="center"/>
    </xf>
    <xf numFmtId="1" fontId="1" fillId="7" borderId="4" xfId="0" applyNumberFormat="1" applyFont="1" applyFill="1" applyBorder="1" applyAlignment="1">
      <alignment horizontal="center"/>
    </xf>
    <xf numFmtId="1" fontId="0" fillId="0" borderId="86" xfId="0" quotePrefix="1" applyNumberFormat="1" applyBorder="1" applyAlignment="1">
      <alignment horizontal="center"/>
    </xf>
    <xf numFmtId="0" fontId="14" fillId="4" borderId="13" xfId="0" applyFont="1" applyFill="1" applyBorder="1"/>
    <xf numFmtId="0" fontId="14" fillId="4" borderId="50" xfId="0" applyFont="1" applyFill="1" applyBorder="1"/>
    <xf numFmtId="0" fontId="14" fillId="0" borderId="13" xfId="0" applyFont="1" applyBorder="1" applyAlignment="1">
      <alignment horizontal="center"/>
    </xf>
    <xf numFmtId="0" fontId="14" fillId="0" borderId="9" xfId="0" applyFont="1" applyFill="1" applyBorder="1" applyAlignment="1">
      <alignment horizontal="center"/>
    </xf>
    <xf numFmtId="0" fontId="14" fillId="0" borderId="31" xfId="0" applyFont="1" applyFill="1" applyBorder="1" applyAlignment="1">
      <alignment horizontal="center"/>
    </xf>
    <xf numFmtId="1" fontId="15" fillId="7" borderId="4" xfId="0" applyNumberFormat="1" applyFont="1" applyFill="1" applyBorder="1" applyAlignment="1">
      <alignment horizontal="center"/>
    </xf>
    <xf numFmtId="1" fontId="15" fillId="7" borderId="84" xfId="0" applyNumberFormat="1" applyFont="1" applyFill="1" applyBorder="1" applyAlignment="1">
      <alignment horizontal="center"/>
    </xf>
    <xf numFmtId="0" fontId="0" fillId="0" borderId="0" xfId="0" applyFill="1"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ill="1" applyBorder="1" applyAlignment="1">
      <alignment horizontal="left" wrapText="1"/>
    </xf>
    <xf numFmtId="0" fontId="2" fillId="0" borderId="62" xfId="0" applyFont="1" applyBorder="1" applyAlignment="1">
      <alignment horizontal="center" wrapText="1"/>
    </xf>
    <xf numFmtId="0" fontId="2" fillId="0" borderId="62" xfId="0" applyFont="1" applyBorder="1" applyAlignment="1">
      <alignment horizontal="center"/>
    </xf>
    <xf numFmtId="0" fontId="0" fillId="0" borderId="0" xfId="0" applyAlignment="1">
      <alignment wrapText="1"/>
    </xf>
    <xf numFmtId="0" fontId="0" fillId="0" borderId="0" xfId="0" applyFill="1" applyAlignment="1">
      <alignment horizontal="center" wrapText="1"/>
    </xf>
    <xf numFmtId="0" fontId="0" fillId="0" borderId="20" xfId="0" applyBorder="1" applyAlignment="1">
      <alignment horizontal="center"/>
    </xf>
    <xf numFmtId="0" fontId="0" fillId="0" borderId="63"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80"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0" fillId="0" borderId="1" xfId="0" applyBorder="1" applyAlignment="1">
      <alignment horizontal="center" vertical="center"/>
    </xf>
    <xf numFmtId="0" fontId="0" fillId="0" borderId="38" xfId="0" applyBorder="1" applyAlignment="1">
      <alignment horizontal="center" vertical="center" wrapText="1"/>
    </xf>
    <xf numFmtId="0" fontId="0" fillId="0" borderId="1" xfId="0" applyBorder="1" applyAlignment="1">
      <alignment horizontal="center" vertical="center" wrapText="1"/>
    </xf>
    <xf numFmtId="0" fontId="1" fillId="4" borderId="49" xfId="0" applyFont="1" applyFill="1" applyBorder="1" applyAlignment="1">
      <alignment horizontal="center" wrapText="1"/>
    </xf>
    <xf numFmtId="0" fontId="9" fillId="0" borderId="0" xfId="0" applyFont="1" applyAlignment="1">
      <alignment horizontal="left"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1" fillId="0" borderId="55" xfId="0" applyFont="1" applyBorder="1" applyAlignment="1">
      <alignment horizontal="center" vertical="center" wrapText="1"/>
    </xf>
    <xf numFmtId="0" fontId="0" fillId="0" borderId="21" xfId="0" applyBorder="1" applyAlignment="1">
      <alignment horizontal="center" vertical="center" wrapText="1"/>
    </xf>
    <xf numFmtId="0" fontId="1" fillId="6" borderId="57" xfId="0" applyFont="1" applyFill="1" applyBorder="1" applyAlignment="1">
      <alignment horizontal="center"/>
    </xf>
    <xf numFmtId="0" fontId="1" fillId="6" borderId="20" xfId="0" applyFont="1" applyFill="1" applyBorder="1" applyAlignment="1">
      <alignment horizontal="center"/>
    </xf>
    <xf numFmtId="0" fontId="1" fillId="6" borderId="58" xfId="0" applyFont="1" applyFill="1" applyBorder="1" applyAlignment="1">
      <alignment horizontal="center"/>
    </xf>
    <xf numFmtId="0" fontId="1" fillId="5" borderId="23"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0" xfId="0" applyFont="1" applyFill="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2" xfId="0" applyFont="1" applyFill="1" applyBorder="1" applyAlignment="1">
      <alignment horizontal="center" vertical="center"/>
    </xf>
    <xf numFmtId="0" fontId="1" fillId="6" borderId="9"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3" borderId="55" xfId="0" applyFont="1" applyFill="1" applyBorder="1" applyAlignment="1">
      <alignment horizontal="center" wrapText="1"/>
    </xf>
    <xf numFmtId="0" fontId="1" fillId="3" borderId="25" xfId="0" applyFont="1" applyFill="1" applyBorder="1" applyAlignment="1">
      <alignment horizontal="center" wrapText="1"/>
    </xf>
    <xf numFmtId="0" fontId="1" fillId="3" borderId="56" xfId="0" applyFont="1" applyFill="1" applyBorder="1" applyAlignment="1">
      <alignment horizontal="center" wrapText="1"/>
    </xf>
    <xf numFmtId="0" fontId="2" fillId="0" borderId="47" xfId="0" applyFont="1" applyBorder="1" applyAlignment="1">
      <alignment horizontal="center"/>
    </xf>
    <xf numFmtId="0" fontId="2" fillId="0" borderId="6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center"/>
    </xf>
    <xf numFmtId="0" fontId="1" fillId="0" borderId="3"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6" fillId="0" borderId="42" xfId="0" applyFont="1" applyBorder="1" applyAlignment="1">
      <alignment horizontal="left"/>
    </xf>
    <xf numFmtId="0" fontId="6" fillId="0" borderId="25" xfId="0" applyFont="1" applyBorder="1" applyAlignment="1">
      <alignment horizontal="left"/>
    </xf>
    <xf numFmtId="0" fontId="6" fillId="0" borderId="16" xfId="0" applyFont="1" applyBorder="1" applyAlignment="1">
      <alignment horizontal="left"/>
    </xf>
    <xf numFmtId="0" fontId="2" fillId="0" borderId="0" xfId="0" applyFont="1" applyBorder="1" applyAlignment="1">
      <alignment horizontal="center"/>
    </xf>
    <xf numFmtId="0" fontId="0" fillId="0" borderId="0" xfId="0" applyAlignment="1">
      <alignment horizontal="left" vertical="top" wrapText="1"/>
    </xf>
    <xf numFmtId="0" fontId="3" fillId="0" borderId="0" xfId="0" applyFont="1" applyFill="1"/>
    <xf numFmtId="0" fontId="16" fillId="0" borderId="0" xfId="0" applyFont="1" applyFill="1"/>
    <xf numFmtId="0" fontId="3" fillId="0" borderId="0" xfId="0" applyFont="1" applyFill="1" applyAlignment="1">
      <alignment horizontal="left"/>
    </xf>
    <xf numFmtId="0" fontId="3" fillId="0" borderId="0" xfId="0" applyFont="1" applyFill="1" applyAlignment="1">
      <alignment horizontal="left"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47" xfId="0" applyFont="1" applyFill="1" applyBorder="1" applyAlignment="1">
      <alignment vertical="center" wrapText="1"/>
    </xf>
    <xf numFmtId="0" fontId="18" fillId="2" borderId="1" xfId="0" applyFont="1" applyFill="1" applyBorder="1" applyAlignment="1">
      <alignment vertical="center" wrapText="1"/>
    </xf>
    <xf numFmtId="0" fontId="0" fillId="0" borderId="45" xfId="0" applyFill="1" applyBorder="1" applyAlignment="1">
      <alignment vertical="center" wrapText="1"/>
    </xf>
    <xf numFmtId="0" fontId="19" fillId="0" borderId="45" xfId="0" applyFont="1" applyFill="1" applyBorder="1" applyAlignment="1">
      <alignment horizontal="left" wrapText="1"/>
    </xf>
    <xf numFmtId="0" fontId="20" fillId="0" borderId="47" xfId="0" applyFont="1" applyFill="1" applyBorder="1" applyAlignment="1">
      <alignment vertical="center" wrapText="1"/>
    </xf>
    <xf numFmtId="0" fontId="20" fillId="0" borderId="1" xfId="0" applyFont="1" applyFill="1" applyBorder="1" applyAlignment="1">
      <alignment vertical="center" wrapText="1"/>
    </xf>
    <xf numFmtId="0" fontId="8" fillId="0" borderId="0" xfId="0" applyFo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7" xfId="0" applyFont="1" applyFill="1" applyBorder="1" applyAlignment="1">
      <alignment horizontal="center" vertical="center"/>
    </xf>
    <xf numFmtId="0" fontId="18" fillId="0" borderId="1" xfId="0" applyFont="1" applyFill="1" applyBorder="1" applyAlignment="1">
      <alignment horizontal="center" vertical="center" wrapText="1"/>
    </xf>
    <xf numFmtId="0" fontId="21" fillId="0" borderId="0" xfId="0" applyFont="1" applyFill="1" applyAlignment="1">
      <alignment horizontal="center"/>
    </xf>
    <xf numFmtId="0" fontId="0" fillId="0" borderId="0" xfId="0" applyFill="1" applyAlignment="1">
      <alignment wrapText="1"/>
    </xf>
    <xf numFmtId="0" fontId="0" fillId="0" borderId="1" xfId="0" applyFill="1" applyBorder="1" applyAlignment="1">
      <alignment wrapText="1"/>
    </xf>
    <xf numFmtId="0" fontId="0" fillId="0" borderId="1" xfId="0" applyFill="1" applyBorder="1"/>
    <xf numFmtId="0" fontId="0" fillId="0" borderId="1" xfId="0" applyFill="1" applyBorder="1" applyAlignment="1">
      <alignment vertical="center" wrapText="1"/>
    </xf>
    <xf numFmtId="0" fontId="0" fillId="8" borderId="1" xfId="0" applyFill="1" applyBorder="1"/>
    <xf numFmtId="0" fontId="0" fillId="8" borderId="1" xfId="0" applyFill="1" applyBorder="1" applyAlignment="1">
      <alignment wrapText="1"/>
    </xf>
    <xf numFmtId="0" fontId="22" fillId="8" borderId="1" xfId="0" applyFont="1" applyFill="1" applyBorder="1" applyAlignment="1">
      <alignment wrapText="1"/>
    </xf>
    <xf numFmtId="0" fontId="0" fillId="0" borderId="8" xfId="0" applyFill="1" applyBorder="1" applyAlignment="1">
      <alignment wrapText="1"/>
    </xf>
    <xf numFmtId="0" fontId="23" fillId="0" borderId="25" xfId="0" applyFont="1" applyFill="1" applyBorder="1" applyAlignment="1">
      <alignment wrapText="1"/>
    </xf>
    <xf numFmtId="0" fontId="23" fillId="0" borderId="63" xfId="0" applyFont="1" applyFill="1" applyBorder="1" applyAlignment="1">
      <alignment wrapText="1"/>
    </xf>
    <xf numFmtId="0" fontId="0" fillId="9" borderId="1" xfId="0" applyFill="1" applyBorder="1"/>
    <xf numFmtId="0" fontId="0" fillId="0" borderId="1" xfId="0" applyFont="1" applyFill="1" applyBorder="1" applyAlignment="1">
      <alignment wrapText="1"/>
    </xf>
    <xf numFmtId="0" fontId="0" fillId="9" borderId="1" xfId="0" applyFill="1" applyBorder="1" applyAlignment="1">
      <alignment wrapText="1"/>
    </xf>
    <xf numFmtId="0" fontId="0" fillId="0" borderId="25" xfId="0" applyFill="1" applyBorder="1" applyAlignment="1">
      <alignment wrapText="1"/>
    </xf>
    <xf numFmtId="0" fontId="24" fillId="0" borderId="63" xfId="0" applyFont="1" applyFill="1" applyBorder="1" applyAlignment="1">
      <alignment wrapText="1"/>
    </xf>
    <xf numFmtId="0" fontId="22" fillId="9" borderId="1" xfId="0" applyFont="1" applyFill="1" applyBorder="1" applyAlignment="1">
      <alignment wrapText="1"/>
    </xf>
    <xf numFmtId="0" fontId="24" fillId="0" borderId="87" xfId="0" applyFont="1" applyBorder="1" applyAlignment="1">
      <alignment wrapText="1"/>
    </xf>
    <xf numFmtId="49" fontId="24" fillId="0" borderId="0" xfId="0" applyNumberFormat="1" applyFont="1" applyBorder="1" applyAlignment="1">
      <alignment wrapText="1"/>
    </xf>
    <xf numFmtId="49" fontId="24" fillId="0" borderId="45" xfId="0" applyNumberFormat="1" applyFont="1" applyBorder="1" applyAlignment="1">
      <alignment wrapText="1"/>
    </xf>
    <xf numFmtId="0" fontId="24" fillId="0" borderId="0" xfId="0" applyFont="1" applyBorder="1" applyAlignment="1">
      <alignment wrapText="1"/>
    </xf>
    <xf numFmtId="0" fontId="24" fillId="0" borderId="88" xfId="0" applyFont="1" applyBorder="1" applyAlignment="1">
      <alignment wrapText="1"/>
    </xf>
    <xf numFmtId="49" fontId="24" fillId="0" borderId="46" xfId="0" applyNumberFormat="1" applyFont="1" applyBorder="1" applyAlignment="1">
      <alignment wrapText="1"/>
    </xf>
    <xf numFmtId="49" fontId="24" fillId="0" borderId="89" xfId="0" applyNumberFormat="1" applyFont="1" applyBorder="1" applyAlignment="1">
      <alignment wrapText="1"/>
    </xf>
    <xf numFmtId="0" fontId="27" fillId="0" borderId="0" xfId="0" applyFont="1"/>
    <xf numFmtId="0" fontId="27" fillId="0" borderId="0" xfId="0" applyFont="1" applyAlignment="1">
      <alignment wrapText="1"/>
    </xf>
    <xf numFmtId="0" fontId="6" fillId="0" borderId="25" xfId="0" applyFont="1" applyBorder="1" applyAlignment="1"/>
    <xf numFmtId="0" fontId="28" fillId="0" borderId="25" xfId="0" applyFont="1" applyBorder="1" applyAlignment="1"/>
    <xf numFmtId="0" fontId="28" fillId="0" borderId="25" xfId="0" applyFont="1" applyBorder="1" applyAlignment="1">
      <alignment wrapText="1"/>
    </xf>
    <xf numFmtId="0" fontId="0" fillId="0" borderId="9" xfId="0" applyBorder="1" applyAlignment="1">
      <alignment vertical="center" wrapText="1"/>
    </xf>
    <xf numFmtId="0" fontId="0" fillId="10" borderId="64" xfId="0" applyFill="1" applyBorder="1" applyAlignment="1">
      <alignment wrapText="1"/>
    </xf>
    <xf numFmtId="0" fontId="0" fillId="0" borderId="47" xfId="0" applyBorder="1" applyAlignment="1">
      <alignment wrapText="1"/>
    </xf>
    <xf numFmtId="0" fontId="0" fillId="0" borderId="9" xfId="0" applyBorder="1" applyAlignment="1">
      <alignment wrapText="1"/>
    </xf>
    <xf numFmtId="0" fontId="0" fillId="8" borderId="64" xfId="0" applyFill="1" applyBorder="1" applyAlignment="1">
      <alignment wrapText="1"/>
    </xf>
    <xf numFmtId="0" fontId="0" fillId="9" borderId="64" xfId="0" applyFill="1" applyBorder="1" applyAlignment="1">
      <alignment wrapText="1"/>
    </xf>
    <xf numFmtId="0" fontId="0" fillId="0" borderId="47" xfId="0" applyBorder="1" applyAlignment="1">
      <alignment vertical="center" wrapText="1"/>
    </xf>
    <xf numFmtId="0" fontId="23" fillId="0" borderId="64" xfId="0" applyFont="1" applyBorder="1" applyAlignment="1">
      <alignment wrapText="1"/>
    </xf>
    <xf numFmtId="0" fontId="23" fillId="0" borderId="47" xfId="0" applyFont="1" applyBorder="1" applyAlignment="1">
      <alignment wrapText="1"/>
    </xf>
    <xf numFmtId="0" fontId="0" fillId="0" borderId="64" xfId="0" applyBorder="1" applyAlignment="1">
      <alignment wrapText="1"/>
    </xf>
    <xf numFmtId="0" fontId="0" fillId="0" borderId="25" xfId="0" applyBorder="1" applyAlignment="1">
      <alignment wrapText="1"/>
    </xf>
    <xf numFmtId="0" fontId="0" fillId="0" borderId="63" xfId="0" applyBorder="1" applyAlignment="1">
      <alignment wrapText="1"/>
    </xf>
    <xf numFmtId="0" fontId="0" fillId="0" borderId="8" xfId="0" applyBorder="1" applyAlignment="1">
      <alignment wrapText="1"/>
    </xf>
    <xf numFmtId="0" fontId="24" fillId="0" borderId="9" xfId="0" applyFont="1" applyBorder="1" applyAlignment="1">
      <alignment wrapText="1"/>
    </xf>
    <xf numFmtId="49" fontId="24" fillId="0" borderId="64" xfId="0" applyNumberFormat="1" applyFont="1" applyBorder="1" applyAlignment="1">
      <alignment wrapText="1"/>
    </xf>
    <xf numFmtId="49" fontId="24" fillId="0" borderId="47" xfId="0" applyNumberFormat="1"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tabSelected="1" zoomScale="90" zoomScaleNormal="90" zoomScaleSheetLayoutView="80" workbookViewId="0">
      <selection activeCell="H22" sqref="H22"/>
    </sheetView>
  </sheetViews>
  <sheetFormatPr defaultRowHeight="14.5" x14ac:dyDescent="0.35"/>
  <cols>
    <col min="1" max="1" width="3.54296875" customWidth="1"/>
    <col min="2" max="2" width="29.7265625" customWidth="1"/>
    <col min="3" max="5" width="17.26953125" customWidth="1"/>
    <col min="6" max="6" width="16.1796875" customWidth="1"/>
    <col min="7" max="7" width="5" customWidth="1"/>
    <col min="8" max="9" width="8.81640625" style="102"/>
    <col min="10" max="10" width="13.26953125" style="102" bestFit="1" customWidth="1"/>
    <col min="11" max="11" width="23.26953125" bestFit="1" customWidth="1"/>
  </cols>
  <sheetData>
    <row r="1" spans="2:10" ht="9.65" customHeight="1" x14ac:dyDescent="0.35"/>
    <row r="2" spans="2:10" x14ac:dyDescent="0.35">
      <c r="B2" t="s">
        <v>105</v>
      </c>
      <c r="C2" s="154" t="s">
        <v>201</v>
      </c>
    </row>
    <row r="3" spans="2:10" ht="44.5" customHeight="1" thickBot="1" x14ac:dyDescent="0.6">
      <c r="B3" s="211" t="s">
        <v>136</v>
      </c>
      <c r="C3" s="212"/>
      <c r="D3" s="212"/>
      <c r="E3" s="212"/>
      <c r="F3" s="212"/>
    </row>
    <row r="4" spans="2:10" ht="46.15" customHeight="1" thickBot="1" x14ac:dyDescent="0.6">
      <c r="B4" s="12"/>
      <c r="C4" s="29" t="s">
        <v>99</v>
      </c>
      <c r="D4" s="17" t="s">
        <v>31</v>
      </c>
      <c r="E4" s="22" t="s">
        <v>116</v>
      </c>
      <c r="F4" s="21" t="s">
        <v>115</v>
      </c>
    </row>
    <row r="5" spans="2:10" s="130" customFormat="1" ht="33" customHeight="1" thickTop="1" thickBot="1" x14ac:dyDescent="0.4">
      <c r="B5" s="133" t="s">
        <v>203</v>
      </c>
      <c r="C5" s="134" t="s">
        <v>138</v>
      </c>
      <c r="D5" s="135" t="s">
        <v>24</v>
      </c>
      <c r="E5" s="136"/>
      <c r="F5" s="137"/>
      <c r="H5" s="138"/>
      <c r="I5" s="138"/>
      <c r="J5" s="139"/>
    </row>
    <row r="6" spans="2:10" ht="15" thickTop="1" x14ac:dyDescent="0.35">
      <c r="B6" s="13" t="s">
        <v>4</v>
      </c>
      <c r="C6" s="10">
        <v>0</v>
      </c>
      <c r="D6" s="18" t="s">
        <v>23</v>
      </c>
      <c r="E6" s="23">
        <v>0</v>
      </c>
      <c r="F6" s="26">
        <f>C6+E6</f>
        <v>0</v>
      </c>
    </row>
    <row r="7" spans="2:10" x14ac:dyDescent="0.35">
      <c r="B7" s="14" t="s">
        <v>7</v>
      </c>
      <c r="C7" s="11">
        <v>0</v>
      </c>
      <c r="D7" s="19" t="s">
        <v>23</v>
      </c>
      <c r="E7" s="24">
        <v>2</v>
      </c>
      <c r="F7" s="26">
        <f>C7+E7</f>
        <v>2</v>
      </c>
    </row>
    <row r="8" spans="2:10" x14ac:dyDescent="0.35">
      <c r="B8" s="15" t="s">
        <v>104</v>
      </c>
      <c r="C8" s="11">
        <v>0</v>
      </c>
      <c r="D8" s="20">
        <v>0</v>
      </c>
      <c r="E8" s="24">
        <v>5</v>
      </c>
      <c r="F8" s="27">
        <f>C8+D8+E8</f>
        <v>5</v>
      </c>
    </row>
    <row r="9" spans="2:10" x14ac:dyDescent="0.35">
      <c r="B9" s="15" t="s">
        <v>9</v>
      </c>
      <c r="C9" s="11">
        <v>0</v>
      </c>
      <c r="D9" s="202">
        <v>118</v>
      </c>
      <c r="E9" s="24">
        <v>0</v>
      </c>
      <c r="F9" s="27">
        <v>118</v>
      </c>
    </row>
    <row r="10" spans="2:10" x14ac:dyDescent="0.35">
      <c r="B10" s="15" t="s">
        <v>10</v>
      </c>
      <c r="C10" s="11">
        <v>8</v>
      </c>
      <c r="D10" s="19" t="s">
        <v>23</v>
      </c>
      <c r="E10" s="24">
        <v>0</v>
      </c>
      <c r="F10" s="26">
        <f>C10+E10</f>
        <v>8</v>
      </c>
    </row>
    <row r="11" spans="2:10" x14ac:dyDescent="0.35">
      <c r="B11" s="15" t="s">
        <v>11</v>
      </c>
      <c r="C11" s="11">
        <f>86+52</f>
        <v>138</v>
      </c>
      <c r="D11" s="202">
        <v>92</v>
      </c>
      <c r="E11" s="24">
        <v>4</v>
      </c>
      <c r="F11" s="27">
        <f>C11+D11+E11</f>
        <v>234</v>
      </c>
    </row>
    <row r="12" spans="2:10" x14ac:dyDescent="0.35">
      <c r="B12" s="15" t="s">
        <v>12</v>
      </c>
      <c r="C12" s="11">
        <v>0</v>
      </c>
      <c r="D12" s="19" t="s">
        <v>23</v>
      </c>
      <c r="E12" s="24">
        <v>4</v>
      </c>
      <c r="F12" s="26">
        <f t="shared" ref="F12:F17" si="0">C12+E12</f>
        <v>4</v>
      </c>
    </row>
    <row r="13" spans="2:10" x14ac:dyDescent="0.35">
      <c r="B13" s="15" t="s">
        <v>16</v>
      </c>
      <c r="C13" s="11">
        <v>15</v>
      </c>
      <c r="D13" s="19" t="s">
        <v>23</v>
      </c>
      <c r="E13" s="24">
        <v>0</v>
      </c>
      <c r="F13" s="26">
        <f t="shared" si="0"/>
        <v>15</v>
      </c>
    </row>
    <row r="14" spans="2:10" x14ac:dyDescent="0.35">
      <c r="B14" s="15" t="s">
        <v>13</v>
      </c>
      <c r="C14" s="11">
        <v>6</v>
      </c>
      <c r="D14" s="19" t="s">
        <v>23</v>
      </c>
      <c r="E14" s="24">
        <v>0</v>
      </c>
      <c r="F14" s="26">
        <f t="shared" si="0"/>
        <v>6</v>
      </c>
    </row>
    <row r="15" spans="2:10" x14ac:dyDescent="0.35">
      <c r="B15" s="15" t="s">
        <v>5</v>
      </c>
      <c r="C15" s="11">
        <v>235</v>
      </c>
      <c r="D15" s="19" t="s">
        <v>23</v>
      </c>
      <c r="E15" s="24">
        <v>0</v>
      </c>
      <c r="F15" s="26">
        <f t="shared" si="0"/>
        <v>235</v>
      </c>
    </row>
    <row r="16" spans="2:10" x14ac:dyDescent="0.35">
      <c r="B16" s="15" t="s">
        <v>6</v>
      </c>
      <c r="C16" s="203">
        <v>338</v>
      </c>
      <c r="D16" s="19" t="s">
        <v>23</v>
      </c>
      <c r="E16" s="24">
        <v>2</v>
      </c>
      <c r="F16" s="26">
        <f t="shared" si="0"/>
        <v>340</v>
      </c>
    </row>
    <row r="17" spans="2:10" ht="15" thickBot="1" x14ac:dyDescent="0.4">
      <c r="B17" s="119" t="s">
        <v>17</v>
      </c>
      <c r="C17" s="204">
        <v>0</v>
      </c>
      <c r="D17" s="120" t="s">
        <v>23</v>
      </c>
      <c r="E17" s="121">
        <v>0</v>
      </c>
      <c r="F17" s="122">
        <f t="shared" si="0"/>
        <v>0</v>
      </c>
      <c r="J17" s="4"/>
    </row>
    <row r="18" spans="2:10" ht="15.5" thickTop="1" thickBot="1" x14ac:dyDescent="0.4">
      <c r="B18" s="116" t="s">
        <v>25</v>
      </c>
      <c r="C18" s="117">
        <f t="shared" ref="C18:F18" si="1">SUM(C6:C17)</f>
        <v>740</v>
      </c>
      <c r="D18" s="118">
        <f t="shared" si="1"/>
        <v>210</v>
      </c>
      <c r="E18" s="118">
        <f t="shared" si="1"/>
        <v>17</v>
      </c>
      <c r="F18" s="118">
        <f t="shared" si="1"/>
        <v>967</v>
      </c>
      <c r="J18" s="112"/>
    </row>
    <row r="19" spans="2:10" ht="16.899999999999999" customHeight="1" x14ac:dyDescent="0.35">
      <c r="B19" s="4" t="s">
        <v>26</v>
      </c>
      <c r="C19" s="5"/>
      <c r="F19" s="28"/>
      <c r="J19" s="112"/>
    </row>
    <row r="20" spans="2:10" ht="19.899999999999999" customHeight="1" x14ac:dyDescent="0.35">
      <c r="B20" s="209" t="s">
        <v>204</v>
      </c>
      <c r="C20" s="209"/>
      <c r="D20" s="209"/>
      <c r="E20" s="209"/>
      <c r="F20" s="209"/>
      <c r="J20" s="112"/>
    </row>
    <row r="21" spans="2:10" ht="33" customHeight="1" x14ac:dyDescent="0.35">
      <c r="B21" s="209" t="s">
        <v>202</v>
      </c>
      <c r="C21" s="209"/>
      <c r="D21" s="209"/>
      <c r="E21" s="209"/>
      <c r="F21" s="209"/>
      <c r="J21" s="112"/>
    </row>
    <row r="22" spans="2:10" ht="54.75" customHeight="1" x14ac:dyDescent="0.35">
      <c r="B22" s="209" t="s">
        <v>134</v>
      </c>
      <c r="C22" s="209"/>
      <c r="D22" s="209"/>
      <c r="E22" s="209"/>
      <c r="F22" s="209"/>
      <c r="J22" s="112"/>
    </row>
    <row r="23" spans="2:10" ht="31.9" customHeight="1" x14ac:dyDescent="0.35">
      <c r="B23" s="209" t="s">
        <v>135</v>
      </c>
      <c r="C23" s="209"/>
      <c r="D23" s="209"/>
      <c r="E23" s="209"/>
      <c r="F23" s="209"/>
      <c r="J23" s="112"/>
    </row>
    <row r="24" spans="2:10" ht="33" customHeight="1" x14ac:dyDescent="0.35">
      <c r="B24" s="210" t="s">
        <v>206</v>
      </c>
      <c r="C24" s="210"/>
      <c r="D24" s="210"/>
      <c r="E24" s="210"/>
      <c r="F24" s="210"/>
      <c r="J24" s="112"/>
    </row>
    <row r="25" spans="2:10" ht="31.9" customHeight="1" x14ac:dyDescent="0.35">
      <c r="B25" s="213" t="s">
        <v>103</v>
      </c>
      <c r="C25" s="213"/>
      <c r="D25" s="213"/>
      <c r="E25" s="213"/>
      <c r="F25" s="213"/>
      <c r="J25" s="112"/>
    </row>
    <row r="26" spans="2:10" ht="18.649999999999999" customHeight="1" x14ac:dyDescent="0.35">
      <c r="B26" s="209" t="s">
        <v>100</v>
      </c>
      <c r="C26" s="209"/>
      <c r="D26" s="209"/>
      <c r="E26" s="209"/>
      <c r="F26" s="209"/>
      <c r="J26" s="112"/>
    </row>
    <row r="27" spans="2:10" ht="31.15" customHeight="1" x14ac:dyDescent="0.35">
      <c r="B27" s="209" t="s">
        <v>101</v>
      </c>
      <c r="C27" s="209"/>
      <c r="D27" s="209"/>
      <c r="E27" s="209"/>
      <c r="F27" s="209"/>
      <c r="J27" s="112"/>
    </row>
    <row r="28" spans="2:10" ht="18.649999999999999" customHeight="1" x14ac:dyDescent="0.35">
      <c r="B28" s="209" t="s">
        <v>102</v>
      </c>
      <c r="C28" s="209"/>
      <c r="D28" s="209"/>
      <c r="E28" s="209"/>
      <c r="F28" s="209"/>
      <c r="J28" s="112"/>
    </row>
    <row r="29" spans="2:10" ht="18.649999999999999" customHeight="1" x14ac:dyDescent="0.35">
      <c r="C29" s="5"/>
      <c r="F29" s="102"/>
      <c r="J29" s="112"/>
    </row>
  </sheetData>
  <mergeCells count="10">
    <mergeCell ref="B28:F28"/>
    <mergeCell ref="B21:F21"/>
    <mergeCell ref="B24:F24"/>
    <mergeCell ref="B3:F3"/>
    <mergeCell ref="B20:F20"/>
    <mergeCell ref="B22:F22"/>
    <mergeCell ref="B23:F23"/>
    <mergeCell ref="B25:F25"/>
    <mergeCell ref="B26:F26"/>
    <mergeCell ref="B27:F27"/>
  </mergeCells>
  <pageMargins left="0.7" right="0.7" top="0.75" bottom="0.75" header="0.3" footer="0.3"/>
  <pageSetup scale="85" orientation="portrait" horizontalDpi="1200" verticalDpi="1200" r:id="rId1"/>
  <headerFooter>
    <oddFooter>&amp;F</oddFooter>
  </headerFooter>
  <ignoredErrors>
    <ignoredError sqref="F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zoomScale="80" zoomScaleNormal="80" workbookViewId="0">
      <selection activeCell="A24" sqref="A24"/>
    </sheetView>
  </sheetViews>
  <sheetFormatPr defaultRowHeight="14.5" x14ac:dyDescent="0.35"/>
  <cols>
    <col min="1" max="1" width="27.26953125" customWidth="1"/>
    <col min="2" max="3" width="13.54296875" customWidth="1"/>
    <col min="4" max="4" width="3" customWidth="1"/>
    <col min="5" max="5" width="11.26953125" customWidth="1"/>
    <col min="7" max="7" width="10.453125" customWidth="1"/>
    <col min="8" max="8" width="8.453125" customWidth="1"/>
    <col min="10" max="11" width="3.453125" customWidth="1"/>
    <col min="12" max="12" width="12.26953125" customWidth="1"/>
    <col min="13" max="13" width="12.81640625" customWidth="1"/>
    <col min="14" max="14" width="13.26953125" customWidth="1"/>
    <col min="15" max="15" width="13.7265625" customWidth="1"/>
    <col min="16" max="16" width="10.1796875" customWidth="1"/>
    <col min="17" max="17" width="10.7265625" customWidth="1"/>
    <col min="18" max="18" width="5.453125" customWidth="1"/>
    <col min="19" max="19" width="26.453125" customWidth="1"/>
    <col min="20" max="26" width="9.1796875" customWidth="1"/>
    <col min="27" max="27" width="24.26953125" customWidth="1"/>
    <col min="28" max="31" width="9.1796875" customWidth="1"/>
    <col min="32" max="32" width="12.26953125" customWidth="1"/>
    <col min="33" max="33" width="14.81640625" customWidth="1"/>
    <col min="34" max="34" width="14.453125" customWidth="1"/>
    <col min="35" max="35" width="6.453125" customWidth="1"/>
    <col min="36" max="36" width="17.1796875" customWidth="1"/>
  </cols>
  <sheetData>
    <row r="1" spans="1:9" ht="23.5" x14ac:dyDescent="0.55000000000000004">
      <c r="A1" s="153" t="s">
        <v>123</v>
      </c>
      <c r="B1" s="100"/>
    </row>
    <row r="2" spans="1:9" x14ac:dyDescent="0.35">
      <c r="A2" s="154" t="s">
        <v>184</v>
      </c>
      <c r="B2" s="100"/>
    </row>
    <row r="3" spans="1:9" x14ac:dyDescent="0.35">
      <c r="A3" s="214" t="s">
        <v>39</v>
      </c>
      <c r="B3" s="100" t="s">
        <v>205</v>
      </c>
    </row>
    <row r="4" spans="1:9" x14ac:dyDescent="0.35">
      <c r="A4" s="214"/>
      <c r="B4" s="155" t="s">
        <v>40</v>
      </c>
      <c r="C4" s="38" t="s">
        <v>41</v>
      </c>
      <c r="E4" s="2" t="s">
        <v>29</v>
      </c>
      <c r="F4" s="39" t="s">
        <v>42</v>
      </c>
      <c r="H4" t="s">
        <v>43</v>
      </c>
    </row>
    <row r="5" spans="1:9" x14ac:dyDescent="0.35">
      <c r="A5" s="2">
        <v>8</v>
      </c>
      <c r="B5" s="2">
        <v>1354</v>
      </c>
      <c r="C5" s="2">
        <v>482</v>
      </c>
      <c r="D5" s="2"/>
      <c r="E5" s="2">
        <f>B5+C5</f>
        <v>1836</v>
      </c>
      <c r="F5" s="8">
        <f>E5/18</f>
        <v>102</v>
      </c>
      <c r="G5" s="2"/>
      <c r="H5" s="40">
        <f>E5/5847</f>
        <v>0.31400718317085685</v>
      </c>
    </row>
    <row r="7" spans="1:9" ht="15" customHeight="1" x14ac:dyDescent="0.35">
      <c r="A7" s="41" t="s">
        <v>44</v>
      </c>
      <c r="B7" s="42" t="s">
        <v>45</v>
      </c>
      <c r="C7" s="41" t="s">
        <v>46</v>
      </c>
      <c r="D7" s="43"/>
      <c r="E7" t="s">
        <v>47</v>
      </c>
      <c r="F7" s="144" t="s">
        <v>36</v>
      </c>
      <c r="G7" s="145">
        <f>E17/E5</f>
        <v>0.59531590413943358</v>
      </c>
    </row>
    <row r="8" spans="1:9" x14ac:dyDescent="0.35">
      <c r="A8" s="41" t="s">
        <v>112</v>
      </c>
      <c r="B8" s="44">
        <f>F5*G8</f>
        <v>34.888888888888886</v>
      </c>
      <c r="C8" s="44">
        <f>B8*20</f>
        <v>697.77777777777771</v>
      </c>
      <c r="D8" s="43"/>
      <c r="F8" s="144" t="s">
        <v>28</v>
      </c>
      <c r="G8" s="145">
        <f>E18/E5</f>
        <v>0.34204793028322439</v>
      </c>
    </row>
    <row r="11" spans="1:9" x14ac:dyDescent="0.35">
      <c r="A11" s="45" t="s">
        <v>48</v>
      </c>
      <c r="B11" s="34" t="s">
        <v>40</v>
      </c>
      <c r="C11" s="34" t="s">
        <v>41</v>
      </c>
      <c r="D11" s="45"/>
      <c r="E11" s="34" t="s">
        <v>29</v>
      </c>
      <c r="G11" s="2" t="s">
        <v>49</v>
      </c>
      <c r="H11" t="s">
        <v>50</v>
      </c>
      <c r="I11" t="s">
        <v>51</v>
      </c>
    </row>
    <row r="12" spans="1:9" x14ac:dyDescent="0.35">
      <c r="A12" s="45" t="s">
        <v>29</v>
      </c>
      <c r="B12" s="34">
        <v>1354</v>
      </c>
      <c r="C12" s="34">
        <v>482</v>
      </c>
      <c r="D12" s="45"/>
      <c r="E12" s="34">
        <f t="shared" ref="E12:E14" si="0">B12+C12</f>
        <v>1836</v>
      </c>
      <c r="G12" s="2" t="s">
        <v>44</v>
      </c>
      <c r="H12" s="2">
        <v>2</v>
      </c>
      <c r="I12" s="37">
        <v>1.2004801920768306E-3</v>
      </c>
    </row>
    <row r="13" spans="1:9" x14ac:dyDescent="0.35">
      <c r="A13" s="45" t="s">
        <v>52</v>
      </c>
      <c r="B13" s="34">
        <v>1226</v>
      </c>
      <c r="C13" s="34">
        <v>422</v>
      </c>
      <c r="D13" s="45"/>
      <c r="E13" s="34">
        <f t="shared" si="0"/>
        <v>1648</v>
      </c>
    </row>
    <row r="14" spans="1:9" x14ac:dyDescent="0.35">
      <c r="A14" s="45" t="s">
        <v>53</v>
      </c>
      <c r="B14" s="34">
        <v>128</v>
      </c>
      <c r="C14" s="34">
        <v>60</v>
      </c>
      <c r="D14" s="45"/>
      <c r="E14" s="34">
        <f t="shared" si="0"/>
        <v>188</v>
      </c>
      <c r="G14" s="2" t="s">
        <v>54</v>
      </c>
      <c r="H14" s="2" t="s">
        <v>50</v>
      </c>
      <c r="I14" t="s">
        <v>51</v>
      </c>
    </row>
    <row r="15" spans="1:9" x14ac:dyDescent="0.35">
      <c r="B15" s="2"/>
      <c r="C15" s="2"/>
      <c r="E15" s="2"/>
      <c r="G15" s="2" t="s">
        <v>44</v>
      </c>
      <c r="H15" s="2">
        <v>1</v>
      </c>
      <c r="I15" s="37">
        <v>6.0024009603841532E-4</v>
      </c>
    </row>
    <row r="16" spans="1:9" x14ac:dyDescent="0.35">
      <c r="A16" s="45" t="s">
        <v>55</v>
      </c>
      <c r="B16" s="46" t="s">
        <v>56</v>
      </c>
      <c r="C16" s="34"/>
      <c r="D16" s="45"/>
      <c r="E16" s="34"/>
    </row>
    <row r="17" spans="1:13" x14ac:dyDescent="0.35">
      <c r="A17" s="45" t="s">
        <v>57</v>
      </c>
      <c r="B17" s="34">
        <v>843</v>
      </c>
      <c r="C17" s="34">
        <v>250</v>
      </c>
      <c r="D17" s="45"/>
      <c r="E17" s="34">
        <f>B17+C17</f>
        <v>1093</v>
      </c>
    </row>
    <row r="18" spans="1:13" x14ac:dyDescent="0.35">
      <c r="A18" s="45" t="s">
        <v>117</v>
      </c>
      <c r="B18" s="34">
        <v>498</v>
      </c>
      <c r="C18" s="34">
        <v>130</v>
      </c>
      <c r="D18" s="45"/>
      <c r="E18" s="34">
        <f>B18+C18</f>
        <v>628</v>
      </c>
    </row>
    <row r="19" spans="1:13" x14ac:dyDescent="0.35">
      <c r="A19" s="45" t="s">
        <v>58</v>
      </c>
      <c r="B19" s="34">
        <v>13</v>
      </c>
      <c r="C19" s="34">
        <v>102</v>
      </c>
      <c r="D19" s="45"/>
      <c r="E19" s="34">
        <f>B19+C19</f>
        <v>115</v>
      </c>
    </row>
    <row r="20" spans="1:13" x14ac:dyDescent="0.35">
      <c r="A20" s="45" t="s">
        <v>29</v>
      </c>
      <c r="B20" s="34">
        <f>SUM(B17:B19)</f>
        <v>1354</v>
      </c>
      <c r="C20" s="34">
        <f>SUM(C17:C19)</f>
        <v>482</v>
      </c>
      <c r="D20" s="45"/>
      <c r="E20" s="34">
        <f>B20+C20</f>
        <v>1836</v>
      </c>
    </row>
    <row r="21" spans="1:13" x14ac:dyDescent="0.35">
      <c r="B21" s="2"/>
      <c r="C21" s="2"/>
      <c r="E21" s="2"/>
    </row>
    <row r="22" spans="1:13" x14ac:dyDescent="0.35">
      <c r="A22" t="s">
        <v>59</v>
      </c>
      <c r="B22" s="2"/>
      <c r="C22" s="2"/>
      <c r="E22" s="2"/>
    </row>
    <row r="23" spans="1:13" x14ac:dyDescent="0.35">
      <c r="A23" t="s">
        <v>60</v>
      </c>
      <c r="B23" s="2">
        <f>B18</f>
        <v>498</v>
      </c>
      <c r="C23" s="2">
        <f>C18</f>
        <v>130</v>
      </c>
      <c r="E23" s="2">
        <f t="shared" ref="E23" si="1">B23+C23</f>
        <v>628</v>
      </c>
    </row>
    <row r="24" spans="1:13" x14ac:dyDescent="0.35">
      <c r="B24" s="2"/>
      <c r="C24" s="2"/>
      <c r="E24" s="2"/>
    </row>
    <row r="25" spans="1:13" x14ac:dyDescent="0.35">
      <c r="A25" t="s">
        <v>61</v>
      </c>
      <c r="B25" s="37">
        <f>B19/B12</f>
        <v>9.6011816838995571E-3</v>
      </c>
      <c r="C25" s="37">
        <f>C19/C12</f>
        <v>0.21161825726141079</v>
      </c>
      <c r="E25" s="37">
        <f>E19/E12</f>
        <v>6.2636165577342043E-2</v>
      </c>
    </row>
    <row r="27" spans="1:13" x14ac:dyDescent="0.35">
      <c r="A27" t="s">
        <v>62</v>
      </c>
    </row>
    <row r="28" spans="1:13" x14ac:dyDescent="0.35">
      <c r="A28" s="25"/>
    </row>
    <row r="29" spans="1:13" ht="23.5" x14ac:dyDescent="0.55000000000000004">
      <c r="A29" s="1" t="s">
        <v>181</v>
      </c>
      <c r="L29" s="1" t="s">
        <v>183</v>
      </c>
    </row>
    <row r="30" spans="1:13" x14ac:dyDescent="0.35">
      <c r="A30" t="s">
        <v>63</v>
      </c>
      <c r="B30" t="s">
        <v>64</v>
      </c>
    </row>
    <row r="31" spans="1:13" x14ac:dyDescent="0.35">
      <c r="L31" s="54" t="s">
        <v>72</v>
      </c>
      <c r="M31" s="54"/>
    </row>
    <row r="32" spans="1:13" x14ac:dyDescent="0.35">
      <c r="A32" t="s">
        <v>32</v>
      </c>
      <c r="B32" s="2">
        <f>E5</f>
        <v>1836</v>
      </c>
      <c r="L32" s="48" t="s">
        <v>65</v>
      </c>
      <c r="M32" s="49">
        <f>B32/18</f>
        <v>102</v>
      </c>
    </row>
    <row r="33" spans="1:37" x14ac:dyDescent="0.35">
      <c r="E33" t="s">
        <v>33</v>
      </c>
      <c r="Q33" s="100"/>
    </row>
    <row r="34" spans="1:37" ht="44" thickBot="1" x14ac:dyDescent="0.4">
      <c r="A34" s="131" t="s">
        <v>145</v>
      </c>
      <c r="B34" s="131" t="s">
        <v>34</v>
      </c>
      <c r="C34" s="31" t="s">
        <v>35</v>
      </c>
      <c r="E34" s="30" t="s">
        <v>119</v>
      </c>
      <c r="F34" s="30" t="s">
        <v>118</v>
      </c>
      <c r="G34" s="30" t="s">
        <v>30</v>
      </c>
      <c r="H34" s="30" t="s">
        <v>121</v>
      </c>
      <c r="I34" s="30" t="s">
        <v>120</v>
      </c>
      <c r="L34" s="50" t="s">
        <v>114</v>
      </c>
      <c r="M34" s="50" t="s">
        <v>113</v>
      </c>
      <c r="N34" s="50" t="s">
        <v>66</v>
      </c>
      <c r="O34" s="50" t="s">
        <v>67</v>
      </c>
      <c r="P34" s="50" t="s">
        <v>107</v>
      </c>
      <c r="Q34" s="101"/>
      <c r="R34" s="102"/>
    </row>
    <row r="35" spans="1:37" ht="30" customHeight="1" thickTop="1" x14ac:dyDescent="0.35">
      <c r="A35" s="124" t="s">
        <v>142</v>
      </c>
      <c r="B35" s="32">
        <f>356+4</f>
        <v>360</v>
      </c>
      <c r="C35" s="33">
        <f>B35/E$5</f>
        <v>0.19607843137254902</v>
      </c>
      <c r="E35" s="32">
        <f>269+2</f>
        <v>271</v>
      </c>
      <c r="F35" s="32">
        <f>72+1</f>
        <v>73</v>
      </c>
      <c r="G35" s="32">
        <f>15+1</f>
        <v>16</v>
      </c>
      <c r="H35" s="33">
        <f>E35/B35</f>
        <v>0.75277777777777777</v>
      </c>
      <c r="I35" s="33">
        <f>F35/B35</f>
        <v>0.20277777777777778</v>
      </c>
      <c r="L35" s="51">
        <f t="shared" ref="L35:L42" si="2">$M$32*C35</f>
        <v>20</v>
      </c>
      <c r="M35" s="51">
        <f>L35*I35</f>
        <v>4.0555555555555554</v>
      </c>
      <c r="N35" s="51">
        <f>M35*1.06</f>
        <v>4.2988888888888885</v>
      </c>
      <c r="O35" s="51">
        <f>N35*20</f>
        <v>85.977777777777774</v>
      </c>
      <c r="P35" s="52">
        <v>86</v>
      </c>
      <c r="Q35" s="100"/>
    </row>
    <row r="36" spans="1:37" ht="30" customHeight="1" x14ac:dyDescent="0.35">
      <c r="A36" s="124" t="s">
        <v>147</v>
      </c>
      <c r="B36" s="32">
        <v>109</v>
      </c>
      <c r="C36" s="33">
        <f t="shared" ref="C36:C42" si="3">B36/E$5</f>
        <v>5.9368191721132897E-2</v>
      </c>
      <c r="E36" s="32">
        <v>96</v>
      </c>
      <c r="F36" s="32">
        <v>7</v>
      </c>
      <c r="G36" s="32">
        <v>6</v>
      </c>
      <c r="H36" s="33">
        <f t="shared" ref="H36:H42" si="4">E36/B36</f>
        <v>0.88073394495412849</v>
      </c>
      <c r="I36" s="33">
        <f t="shared" ref="I36:I42" si="5">F36/B36</f>
        <v>6.4220183486238536E-2</v>
      </c>
      <c r="L36" s="51">
        <f t="shared" si="2"/>
        <v>6.0555555555555554</v>
      </c>
      <c r="M36" s="51">
        <f t="shared" ref="M36:M42" si="6">L36*I36</f>
        <v>0.3888888888888889</v>
      </c>
      <c r="N36" s="51">
        <f t="shared" ref="N36:N42" si="7">M36*1.06</f>
        <v>0.41222222222222227</v>
      </c>
      <c r="O36" s="51">
        <f t="shared" ref="O36:O42" si="8">N36*20</f>
        <v>8.2444444444444454</v>
      </c>
      <c r="P36" s="52">
        <v>8</v>
      </c>
      <c r="Q36" s="100"/>
    </row>
    <row r="37" spans="1:37" ht="30" customHeight="1" x14ac:dyDescent="0.35">
      <c r="A37" s="124" t="s">
        <v>146</v>
      </c>
      <c r="B37" s="32">
        <f>154+2</f>
        <v>156</v>
      </c>
      <c r="C37" s="33">
        <f t="shared" si="3"/>
        <v>8.4967320261437912E-2</v>
      </c>
      <c r="E37" s="32">
        <f>104+1</f>
        <v>105</v>
      </c>
      <c r="F37" s="32">
        <f>43+1</f>
        <v>44</v>
      </c>
      <c r="G37" s="32">
        <v>7</v>
      </c>
      <c r="H37" s="33">
        <f t="shared" si="4"/>
        <v>0.67307692307692313</v>
      </c>
      <c r="I37" s="33">
        <f t="shared" si="5"/>
        <v>0.28205128205128205</v>
      </c>
      <c r="L37" s="51">
        <f t="shared" si="2"/>
        <v>8.6666666666666679</v>
      </c>
      <c r="M37" s="51">
        <f t="shared" si="6"/>
        <v>2.4444444444444446</v>
      </c>
      <c r="N37" s="51">
        <f t="shared" si="7"/>
        <v>2.5911111111111116</v>
      </c>
      <c r="O37" s="51">
        <f t="shared" si="8"/>
        <v>51.82222222222223</v>
      </c>
      <c r="P37" s="52">
        <v>52</v>
      </c>
      <c r="Q37" s="100"/>
    </row>
    <row r="38" spans="1:37" ht="30" customHeight="1" x14ac:dyDescent="0.35">
      <c r="A38" s="124" t="s">
        <v>143</v>
      </c>
      <c r="B38" s="32">
        <v>5</v>
      </c>
      <c r="C38" s="33">
        <f t="shared" si="3"/>
        <v>2.7233115468409588E-3</v>
      </c>
      <c r="E38" s="32">
        <v>0</v>
      </c>
      <c r="F38" s="32">
        <v>5</v>
      </c>
      <c r="G38" s="32">
        <v>0</v>
      </c>
      <c r="H38" s="33">
        <f t="shared" si="4"/>
        <v>0</v>
      </c>
      <c r="I38" s="33">
        <f t="shared" si="5"/>
        <v>1</v>
      </c>
      <c r="L38" s="51">
        <f t="shared" si="2"/>
        <v>0.27777777777777779</v>
      </c>
      <c r="M38" s="51">
        <f t="shared" si="6"/>
        <v>0.27777777777777779</v>
      </c>
      <c r="N38" s="51">
        <f t="shared" si="7"/>
        <v>0.29444444444444445</v>
      </c>
      <c r="O38" s="51">
        <f t="shared" si="8"/>
        <v>5.8888888888888893</v>
      </c>
      <c r="P38" s="52">
        <v>6</v>
      </c>
      <c r="Q38" s="100"/>
    </row>
    <row r="39" spans="1:37" ht="30" customHeight="1" x14ac:dyDescent="0.35">
      <c r="A39" s="124" t="s">
        <v>0</v>
      </c>
      <c r="B39" s="32">
        <f>361+6</f>
        <v>367</v>
      </c>
      <c r="C39" s="33">
        <f t="shared" si="3"/>
        <v>0.19989106753812635</v>
      </c>
      <c r="E39" s="32">
        <f>142+2</f>
        <v>144</v>
      </c>
      <c r="F39" s="32">
        <f>196+3</f>
        <v>199</v>
      </c>
      <c r="G39" s="32">
        <f>23+1</f>
        <v>24</v>
      </c>
      <c r="H39" s="33">
        <f>E39/B39</f>
        <v>0.39237057220708449</v>
      </c>
      <c r="I39" s="33">
        <f t="shared" si="5"/>
        <v>0.54223433242506813</v>
      </c>
      <c r="L39" s="51">
        <f t="shared" si="2"/>
        <v>20.388888888888889</v>
      </c>
      <c r="M39" s="51">
        <f t="shared" si="6"/>
        <v>11.055555555555555</v>
      </c>
      <c r="N39" s="51">
        <f t="shared" si="7"/>
        <v>11.718888888888889</v>
      </c>
      <c r="O39" s="51">
        <f t="shared" si="8"/>
        <v>234.37777777777779</v>
      </c>
      <c r="P39" s="52">
        <v>235</v>
      </c>
      <c r="Q39" s="100"/>
    </row>
    <row r="40" spans="1:37" ht="30" customHeight="1" x14ac:dyDescent="0.35">
      <c r="A40" s="124" t="s">
        <v>144</v>
      </c>
      <c r="B40" s="32">
        <v>134</v>
      </c>
      <c r="C40" s="33">
        <f t="shared" si="3"/>
        <v>7.2984749455337686E-2</v>
      </c>
      <c r="E40" s="32">
        <v>113</v>
      </c>
      <c r="F40" s="32">
        <v>13</v>
      </c>
      <c r="G40" s="32">
        <v>8</v>
      </c>
      <c r="H40" s="33">
        <f t="shared" si="4"/>
        <v>0.84328358208955223</v>
      </c>
      <c r="I40" s="33">
        <f t="shared" si="5"/>
        <v>9.7014925373134331E-2</v>
      </c>
      <c r="L40" s="51">
        <f t="shared" si="2"/>
        <v>7.4444444444444438</v>
      </c>
      <c r="M40" s="51">
        <f t="shared" si="6"/>
        <v>0.72222222222222221</v>
      </c>
      <c r="N40" s="51">
        <f t="shared" si="7"/>
        <v>0.76555555555555554</v>
      </c>
      <c r="O40" s="51">
        <f t="shared" si="8"/>
        <v>15.31111111111111</v>
      </c>
      <c r="P40" s="52">
        <v>15</v>
      </c>
      <c r="Q40" s="100"/>
    </row>
    <row r="41" spans="1:37" ht="30" customHeight="1" x14ac:dyDescent="0.35">
      <c r="A41" s="124" t="s">
        <v>1</v>
      </c>
      <c r="B41" s="32">
        <v>701</v>
      </c>
      <c r="C41" s="33">
        <f t="shared" si="3"/>
        <v>0.38180827886710239</v>
      </c>
      <c r="E41" s="32">
        <v>361</v>
      </c>
      <c r="F41" s="32">
        <v>286</v>
      </c>
      <c r="G41" s="32">
        <v>54</v>
      </c>
      <c r="H41" s="33">
        <f t="shared" si="4"/>
        <v>0.51497860199714696</v>
      </c>
      <c r="I41" s="33">
        <f t="shared" si="5"/>
        <v>0.40798858773181168</v>
      </c>
      <c r="L41" s="51">
        <f t="shared" si="2"/>
        <v>38.944444444444443</v>
      </c>
      <c r="M41" s="51">
        <f t="shared" si="6"/>
        <v>15.888888888888888</v>
      </c>
      <c r="N41" s="51">
        <f t="shared" si="7"/>
        <v>16.842222222222222</v>
      </c>
      <c r="O41" s="51">
        <f t="shared" si="8"/>
        <v>336.84444444444443</v>
      </c>
      <c r="P41" s="52">
        <v>337</v>
      </c>
      <c r="Q41" s="100"/>
    </row>
    <row r="42" spans="1:37" ht="30" customHeight="1" x14ac:dyDescent="0.35">
      <c r="A42" s="124" t="s">
        <v>2</v>
      </c>
      <c r="B42" s="34">
        <v>1</v>
      </c>
      <c r="C42" s="33">
        <f t="shared" si="3"/>
        <v>5.4466230936819177E-4</v>
      </c>
      <c r="E42" s="34">
        <v>0</v>
      </c>
      <c r="F42" s="34">
        <v>1</v>
      </c>
      <c r="G42" s="34">
        <v>0</v>
      </c>
      <c r="H42" s="33">
        <f t="shared" si="4"/>
        <v>0</v>
      </c>
      <c r="I42" s="33">
        <f t="shared" si="5"/>
        <v>1</v>
      </c>
      <c r="L42" s="51">
        <f t="shared" si="2"/>
        <v>5.5555555555555559E-2</v>
      </c>
      <c r="M42" s="51">
        <f t="shared" si="6"/>
        <v>5.5555555555555559E-2</v>
      </c>
      <c r="N42" s="51">
        <f t="shared" si="7"/>
        <v>5.8888888888888893E-2</v>
      </c>
      <c r="O42" s="51">
        <f t="shared" si="8"/>
        <v>1.1777777777777778</v>
      </c>
      <c r="P42" s="52">
        <v>1</v>
      </c>
      <c r="Q42" s="100"/>
    </row>
    <row r="43" spans="1:37" ht="30" customHeight="1" x14ac:dyDescent="0.35">
      <c r="A43" s="35" t="s">
        <v>3</v>
      </c>
      <c r="B43" s="35" t="s">
        <v>37</v>
      </c>
      <c r="C43" s="36">
        <f>E43/B32</f>
        <v>1.6339869281045752E-3</v>
      </c>
      <c r="E43" s="35">
        <v>3</v>
      </c>
      <c r="F43" s="35">
        <v>0</v>
      </c>
      <c r="G43" s="35">
        <v>0</v>
      </c>
      <c r="H43" s="36"/>
      <c r="I43" s="36"/>
      <c r="L43" s="5"/>
      <c r="M43" s="5"/>
      <c r="N43" s="5"/>
      <c r="O43" s="5"/>
      <c r="P43" s="5"/>
      <c r="Q43" s="100"/>
    </row>
    <row r="44" spans="1:37" x14ac:dyDescent="0.35">
      <c r="A44" t="s">
        <v>29</v>
      </c>
      <c r="B44" s="2">
        <f>SUM(B35:B42)+E43</f>
        <v>1836</v>
      </c>
      <c r="C44" s="37">
        <f>SUM(C35:C42)</f>
        <v>0.99836601307189554</v>
      </c>
      <c r="E44" s="2">
        <f>SUM(E35:E42)+E43</f>
        <v>1093</v>
      </c>
      <c r="F44" s="2">
        <f>SUM(F35:F42)</f>
        <v>628</v>
      </c>
      <c r="G44" s="2">
        <f>SUM(G35:G42)</f>
        <v>115</v>
      </c>
      <c r="H44" t="s">
        <v>29</v>
      </c>
      <c r="I44" s="2">
        <f>E44+F44+G44</f>
        <v>1836</v>
      </c>
      <c r="L44" s="49">
        <f>SUM(L35:L42)</f>
        <v>101.83333333333334</v>
      </c>
      <c r="M44" s="49">
        <f>SUM(M35:M42)</f>
        <v>34.888888888888886</v>
      </c>
      <c r="N44" s="49">
        <f t="shared" ref="N44:P44" si="9">SUM(N35:N42)</f>
        <v>36.982222222222219</v>
      </c>
      <c r="O44" s="49">
        <f t="shared" si="9"/>
        <v>739.6444444444445</v>
      </c>
      <c r="P44" s="53">
        <f t="shared" si="9"/>
        <v>740</v>
      </c>
      <c r="Q44" s="100"/>
    </row>
    <row r="45" spans="1:37" x14ac:dyDescent="0.35">
      <c r="A45" s="132" t="s">
        <v>38</v>
      </c>
      <c r="B45" s="102"/>
      <c r="C45" s="102"/>
      <c r="D45" s="102"/>
      <c r="E45" s="102"/>
      <c r="F45" s="102"/>
      <c r="G45" s="102"/>
    </row>
    <row r="46" spans="1:37" x14ac:dyDescent="0.35">
      <c r="A46" s="132"/>
      <c r="B46" s="102"/>
      <c r="C46" s="102"/>
      <c r="D46" s="102"/>
      <c r="E46" s="102"/>
      <c r="F46" s="102"/>
      <c r="G46" s="102"/>
      <c r="AJ46" s="102"/>
      <c r="AK46" s="102"/>
    </row>
    <row r="47" spans="1:37" ht="24" thickBot="1" x14ac:dyDescent="0.6">
      <c r="A47" s="1" t="s">
        <v>182</v>
      </c>
      <c r="B47" s="102"/>
      <c r="C47" s="102"/>
      <c r="D47" s="102"/>
      <c r="E47" s="102"/>
      <c r="F47" s="102"/>
      <c r="G47" s="102"/>
      <c r="L47" s="1" t="s">
        <v>176</v>
      </c>
      <c r="S47" s="1" t="s">
        <v>180</v>
      </c>
      <c r="AJ47" s="102"/>
      <c r="AK47" s="102"/>
    </row>
    <row r="48" spans="1:37" ht="15.5" thickTop="1" thickBot="1" x14ac:dyDescent="0.4">
      <c r="A48" t="s">
        <v>167</v>
      </c>
      <c r="J48" s="102"/>
      <c r="K48" s="102"/>
      <c r="L48" s="54" t="s">
        <v>72</v>
      </c>
      <c r="M48" s="148"/>
      <c r="N48" s="102"/>
      <c r="O48" s="54" t="s">
        <v>178</v>
      </c>
      <c r="P48" s="102"/>
      <c r="Q48" s="102"/>
      <c r="R48" s="141"/>
      <c r="S48" s="142"/>
      <c r="T48" s="142"/>
      <c r="U48" s="142"/>
      <c r="V48" s="142"/>
      <c r="W48" s="142"/>
      <c r="X48" s="142"/>
      <c r="Y48" s="142"/>
      <c r="Z48" s="142"/>
      <c r="AA48" s="142"/>
      <c r="AB48" s="142"/>
      <c r="AC48" s="142"/>
      <c r="AD48" s="142"/>
      <c r="AE48" s="142"/>
      <c r="AF48" s="142"/>
      <c r="AG48" s="142"/>
      <c r="AH48" s="142"/>
      <c r="AI48" s="143"/>
      <c r="AJ48" s="102"/>
      <c r="AK48" s="102"/>
    </row>
    <row r="49" spans="1:37" x14ac:dyDescent="0.35">
      <c r="A49" t="s">
        <v>168</v>
      </c>
      <c r="J49" s="102"/>
      <c r="K49" s="102"/>
      <c r="L49" s="48" t="s">
        <v>65</v>
      </c>
      <c r="M49" s="148">
        <v>102</v>
      </c>
      <c r="N49" s="102"/>
      <c r="O49" s="147" t="s">
        <v>179</v>
      </c>
      <c r="P49" s="150">
        <f>M49*20</f>
        <v>2040</v>
      </c>
      <c r="Q49" s="149"/>
      <c r="R49" s="177"/>
      <c r="S49" s="102"/>
      <c r="T49" s="102"/>
      <c r="U49" s="102"/>
      <c r="V49" s="102"/>
      <c r="W49" s="215" t="s">
        <v>169</v>
      </c>
      <c r="X49" s="215"/>
      <c r="Y49" s="215"/>
      <c r="Z49" s="215"/>
      <c r="AA49" s="216" t="s">
        <v>185</v>
      </c>
      <c r="AB49" s="218" t="s">
        <v>170</v>
      </c>
      <c r="AC49" s="219"/>
      <c r="AD49" s="219"/>
      <c r="AE49" s="219"/>
      <c r="AF49" s="219"/>
      <c r="AG49" s="220"/>
      <c r="AH49" s="194"/>
      <c r="AI49" s="168"/>
      <c r="AJ49" s="102"/>
      <c r="AK49" s="102"/>
    </row>
    <row r="50" spans="1:37" x14ac:dyDescent="0.35">
      <c r="A50" s="102"/>
      <c r="B50" s="102"/>
      <c r="C50" s="102"/>
      <c r="D50" s="102"/>
      <c r="E50" s="102"/>
      <c r="F50" s="102">
        <v>628</v>
      </c>
      <c r="G50" s="102">
        <v>115</v>
      </c>
      <c r="J50" s="102"/>
      <c r="K50" s="102"/>
      <c r="L50" s="102"/>
      <c r="M50" s="102"/>
      <c r="N50" s="102"/>
      <c r="O50" s="102"/>
      <c r="P50" s="102"/>
      <c r="Q50" s="102"/>
      <c r="R50" s="167"/>
      <c r="S50" s="102" t="s">
        <v>186</v>
      </c>
      <c r="T50" s="102"/>
      <c r="U50" s="102"/>
      <c r="V50" s="102"/>
      <c r="W50" s="221" t="s">
        <v>187</v>
      </c>
      <c r="X50" s="221"/>
      <c r="Y50" s="221" t="s">
        <v>188</v>
      </c>
      <c r="Z50" s="221"/>
      <c r="AA50" s="217"/>
      <c r="AB50" s="222" t="s">
        <v>189</v>
      </c>
      <c r="AC50" s="223"/>
      <c r="AD50" s="223" t="s">
        <v>190</v>
      </c>
      <c r="AE50" s="223"/>
      <c r="AF50" s="223"/>
      <c r="AG50" s="223"/>
      <c r="AH50" s="195"/>
      <c r="AI50" s="168"/>
      <c r="AJ50" s="102"/>
      <c r="AK50" s="102"/>
    </row>
    <row r="51" spans="1:37" ht="73" thickBot="1" x14ac:dyDescent="0.4">
      <c r="A51" s="30" t="s">
        <v>151</v>
      </c>
      <c r="B51" s="131" t="s">
        <v>34</v>
      </c>
      <c r="C51" s="131" t="s">
        <v>152</v>
      </c>
      <c r="E51" s="30" t="s">
        <v>36</v>
      </c>
      <c r="F51" s="30" t="s">
        <v>28</v>
      </c>
      <c r="G51" s="30" t="s">
        <v>30</v>
      </c>
      <c r="H51" s="30" t="s">
        <v>153</v>
      </c>
      <c r="I51" s="30" t="s">
        <v>154</v>
      </c>
      <c r="J51" s="102"/>
      <c r="K51" s="102"/>
      <c r="L51" s="50" t="s">
        <v>114</v>
      </c>
      <c r="M51" s="50" t="s">
        <v>113</v>
      </c>
      <c r="N51" s="50" t="s">
        <v>67</v>
      </c>
      <c r="O51" s="50" t="s">
        <v>177</v>
      </c>
      <c r="P51" s="146" t="s">
        <v>107</v>
      </c>
      <c r="Q51" s="102"/>
      <c r="R51" s="167"/>
      <c r="S51" s="156" t="s">
        <v>191</v>
      </c>
      <c r="T51" s="157" t="s">
        <v>192</v>
      </c>
      <c r="U51" s="157" t="s">
        <v>193</v>
      </c>
      <c r="V51" s="102"/>
      <c r="W51" s="158" t="s">
        <v>194</v>
      </c>
      <c r="X51" s="159" t="s">
        <v>195</v>
      </c>
      <c r="Y51" s="158" t="s">
        <v>196</v>
      </c>
      <c r="Z51" s="159" t="s">
        <v>195</v>
      </c>
      <c r="AA51" s="217"/>
      <c r="AB51" s="187" t="s">
        <v>194</v>
      </c>
      <c r="AC51" s="172" t="s">
        <v>195</v>
      </c>
      <c r="AD51" s="172" t="s">
        <v>194</v>
      </c>
      <c r="AE51" s="172" t="s">
        <v>195</v>
      </c>
      <c r="AF51" s="181" t="s">
        <v>197</v>
      </c>
      <c r="AG51" s="173" t="s">
        <v>198</v>
      </c>
      <c r="AH51" s="196" t="s">
        <v>200</v>
      </c>
      <c r="AI51" s="168"/>
      <c r="AJ51" s="102"/>
      <c r="AK51" s="102"/>
    </row>
    <row r="52" spans="1:37" ht="15" thickTop="1" x14ac:dyDescent="0.35">
      <c r="A52" s="35" t="s">
        <v>155</v>
      </c>
      <c r="B52" s="35" t="s">
        <v>37</v>
      </c>
      <c r="C52" s="36">
        <v>0</v>
      </c>
      <c r="E52" s="35">
        <v>0</v>
      </c>
      <c r="F52" s="35">
        <v>0</v>
      </c>
      <c r="G52" s="35">
        <v>0</v>
      </c>
      <c r="H52" s="36">
        <v>0</v>
      </c>
      <c r="I52" s="36">
        <v>0</v>
      </c>
      <c r="L52" s="151">
        <v>0</v>
      </c>
      <c r="M52" s="152">
        <v>0</v>
      </c>
      <c r="N52" s="152">
        <v>0</v>
      </c>
      <c r="O52" s="152">
        <v>0</v>
      </c>
      <c r="P52" s="152">
        <v>0</v>
      </c>
      <c r="R52" s="167"/>
      <c r="S52" s="35" t="s">
        <v>155</v>
      </c>
      <c r="T52" s="35" t="s">
        <v>37</v>
      </c>
      <c r="U52" s="35" t="s">
        <v>37</v>
      </c>
      <c r="V52" s="102"/>
      <c r="W52" s="160">
        <v>0</v>
      </c>
      <c r="X52" s="161">
        <v>0</v>
      </c>
      <c r="Y52" s="160">
        <v>0</v>
      </c>
      <c r="Z52" s="161">
        <v>0</v>
      </c>
      <c r="AA52" s="186" t="s">
        <v>155</v>
      </c>
      <c r="AB52" s="188">
        <v>0</v>
      </c>
      <c r="AC52" s="35">
        <v>0</v>
      </c>
      <c r="AD52" s="35">
        <v>0</v>
      </c>
      <c r="AE52" s="35">
        <v>0</v>
      </c>
      <c r="AF52" s="52">
        <v>0</v>
      </c>
      <c r="AG52" s="174">
        <f t="shared" ref="AG52:AG63" si="10">AE52-AF52</f>
        <v>0</v>
      </c>
      <c r="AH52" s="197">
        <v>0</v>
      </c>
      <c r="AI52" s="168"/>
      <c r="AJ52" s="102"/>
      <c r="AK52" s="102"/>
    </row>
    <row r="53" spans="1:37" x14ac:dyDescent="0.35">
      <c r="A53" s="35" t="s">
        <v>156</v>
      </c>
      <c r="B53" s="35" t="s">
        <v>37</v>
      </c>
      <c r="C53" s="36">
        <v>0</v>
      </c>
      <c r="E53" s="35">
        <v>0</v>
      </c>
      <c r="F53" s="35">
        <v>0</v>
      </c>
      <c r="G53" s="35">
        <v>0</v>
      </c>
      <c r="H53" s="36">
        <v>0</v>
      </c>
      <c r="I53" s="36">
        <v>0</v>
      </c>
      <c r="L53" s="151">
        <v>0</v>
      </c>
      <c r="M53" s="152">
        <v>0</v>
      </c>
      <c r="N53" s="152">
        <v>0</v>
      </c>
      <c r="O53" s="152">
        <v>0</v>
      </c>
      <c r="P53" s="152">
        <v>0</v>
      </c>
      <c r="R53" s="167"/>
      <c r="S53" s="35" t="s">
        <v>156</v>
      </c>
      <c r="T53" s="35" t="s">
        <v>37</v>
      </c>
      <c r="U53" s="35" t="s">
        <v>37</v>
      </c>
      <c r="V53" s="102"/>
      <c r="W53" s="160">
        <v>0</v>
      </c>
      <c r="X53" s="161">
        <v>0</v>
      </c>
      <c r="Y53" s="160">
        <v>0</v>
      </c>
      <c r="Z53" s="161">
        <v>0</v>
      </c>
      <c r="AA53" s="186" t="s">
        <v>156</v>
      </c>
      <c r="AB53" s="188">
        <v>0</v>
      </c>
      <c r="AC53" s="35">
        <v>0</v>
      </c>
      <c r="AD53" s="35">
        <v>0</v>
      </c>
      <c r="AE53" s="35">
        <v>0</v>
      </c>
      <c r="AF53" s="52">
        <v>0</v>
      </c>
      <c r="AG53" s="174">
        <f t="shared" si="10"/>
        <v>0</v>
      </c>
      <c r="AH53" s="197">
        <v>0</v>
      </c>
      <c r="AI53" s="168"/>
      <c r="AJ53" s="102"/>
      <c r="AK53" s="102"/>
    </row>
    <row r="54" spans="1:37" x14ac:dyDescent="0.35">
      <c r="A54" s="35" t="s">
        <v>157</v>
      </c>
      <c r="B54" s="35" t="s">
        <v>37</v>
      </c>
      <c r="C54" s="36">
        <v>0</v>
      </c>
      <c r="E54" s="35">
        <v>0</v>
      </c>
      <c r="F54" s="35">
        <v>0</v>
      </c>
      <c r="G54" s="35">
        <v>0</v>
      </c>
      <c r="H54" s="36">
        <v>0</v>
      </c>
      <c r="I54" s="36">
        <v>0</v>
      </c>
      <c r="L54" s="151">
        <v>0</v>
      </c>
      <c r="M54" s="152">
        <v>0</v>
      </c>
      <c r="N54" s="152">
        <v>0</v>
      </c>
      <c r="O54" s="152">
        <v>0</v>
      </c>
      <c r="P54" s="152">
        <v>0</v>
      </c>
      <c r="R54" s="167"/>
      <c r="S54" s="35" t="s">
        <v>157</v>
      </c>
      <c r="T54" s="35" t="s">
        <v>37</v>
      </c>
      <c r="U54" s="35" t="s">
        <v>37</v>
      </c>
      <c r="V54" s="102"/>
      <c r="W54" s="160">
        <v>0</v>
      </c>
      <c r="X54" s="161">
        <v>0</v>
      </c>
      <c r="Y54" s="160">
        <v>0</v>
      </c>
      <c r="Z54" s="161">
        <v>0</v>
      </c>
      <c r="AA54" s="186" t="s">
        <v>157</v>
      </c>
      <c r="AB54" s="188">
        <f t="shared" ref="AB54:AB63" si="11">W54*H54</f>
        <v>0</v>
      </c>
      <c r="AC54" s="35">
        <f>X54*$H$56</f>
        <v>0</v>
      </c>
      <c r="AD54" s="35">
        <v>0</v>
      </c>
      <c r="AE54" s="35">
        <v>0</v>
      </c>
      <c r="AF54" s="52">
        <v>0</v>
      </c>
      <c r="AG54" s="174">
        <f t="shared" si="10"/>
        <v>0</v>
      </c>
      <c r="AH54" s="197">
        <v>0</v>
      </c>
      <c r="AI54" s="168"/>
      <c r="AJ54" s="102"/>
      <c r="AK54" s="102"/>
    </row>
    <row r="55" spans="1:37" x14ac:dyDescent="0.35">
      <c r="A55" s="32" t="s">
        <v>158</v>
      </c>
      <c r="B55" s="32">
        <v>0</v>
      </c>
      <c r="C55" s="36">
        <f t="shared" ref="C55:C63" si="12">B55/$B$64</f>
        <v>0</v>
      </c>
      <c r="E55" s="32">
        <v>0</v>
      </c>
      <c r="F55" s="32">
        <v>0</v>
      </c>
      <c r="G55" s="32">
        <v>0</v>
      </c>
      <c r="H55" s="33">
        <v>0</v>
      </c>
      <c r="I55" s="33">
        <v>0</v>
      </c>
      <c r="L55" s="151">
        <f t="shared" ref="L55:L63" si="13">$M$49*C55</f>
        <v>0</v>
      </c>
      <c r="M55" s="151">
        <f t="shared" ref="M55:M63" si="14">L55*I55</f>
        <v>0</v>
      </c>
      <c r="N55" s="151">
        <f t="shared" ref="N55:N63" si="15">M55*20</f>
        <v>0</v>
      </c>
      <c r="O55" s="151">
        <f t="shared" ref="O55:O63" si="16">N55*1.06</f>
        <v>0</v>
      </c>
      <c r="P55" s="152">
        <v>0</v>
      </c>
      <c r="R55" s="167"/>
      <c r="S55" s="32" t="s">
        <v>158</v>
      </c>
      <c r="T55" s="32">
        <v>0</v>
      </c>
      <c r="U55" s="162">
        <v>0</v>
      </c>
      <c r="V55" s="102"/>
      <c r="W55" s="163">
        <v>0</v>
      </c>
      <c r="X55" s="164">
        <v>0</v>
      </c>
      <c r="Y55" s="163">
        <v>0</v>
      </c>
      <c r="Z55" s="164">
        <v>0</v>
      </c>
      <c r="AA55" s="126" t="s">
        <v>158</v>
      </c>
      <c r="AB55" s="189">
        <f t="shared" si="11"/>
        <v>0</v>
      </c>
      <c r="AC55" s="175">
        <f t="shared" ref="AC55:AC63" si="17">X55*H55</f>
        <v>0</v>
      </c>
      <c r="AD55" s="175">
        <f>Y55+(W55-AB55)</f>
        <v>0</v>
      </c>
      <c r="AE55" s="175">
        <f>Z55+(X55-AC55)</f>
        <v>0</v>
      </c>
      <c r="AF55" s="182">
        <v>0</v>
      </c>
      <c r="AG55" s="176">
        <f t="shared" si="10"/>
        <v>0</v>
      </c>
      <c r="AH55" s="198">
        <v>0</v>
      </c>
      <c r="AI55" s="168"/>
      <c r="AJ55" s="102"/>
      <c r="AK55" s="102"/>
    </row>
    <row r="56" spans="1:37" x14ac:dyDescent="0.35">
      <c r="A56" s="32" t="s">
        <v>159</v>
      </c>
      <c r="B56" s="32">
        <v>109</v>
      </c>
      <c r="C56" s="36">
        <f t="shared" si="12"/>
        <v>5.9368191721132897E-2</v>
      </c>
      <c r="E56" s="32">
        <v>96</v>
      </c>
      <c r="F56" s="32">
        <v>7</v>
      </c>
      <c r="G56" s="32">
        <v>6</v>
      </c>
      <c r="H56" s="33">
        <f>E56/B56</f>
        <v>0.88073394495412849</v>
      </c>
      <c r="I56" s="33">
        <f>F56/B56</f>
        <v>6.4220183486238536E-2</v>
      </c>
      <c r="L56" s="151">
        <f t="shared" si="13"/>
        <v>6.0555555555555554</v>
      </c>
      <c r="M56" s="151">
        <f t="shared" si="14"/>
        <v>0.3888888888888889</v>
      </c>
      <c r="N56" s="151">
        <f t="shared" si="15"/>
        <v>7.7777777777777777</v>
      </c>
      <c r="O56" s="151">
        <f t="shared" si="16"/>
        <v>8.2444444444444454</v>
      </c>
      <c r="P56" s="152">
        <v>8</v>
      </c>
      <c r="R56" s="167"/>
      <c r="S56" s="32" t="s">
        <v>159</v>
      </c>
      <c r="T56" s="32">
        <v>85</v>
      </c>
      <c r="U56" s="162">
        <v>88</v>
      </c>
      <c r="V56" s="102"/>
      <c r="W56" s="163">
        <v>85</v>
      </c>
      <c r="X56" s="164">
        <v>88</v>
      </c>
      <c r="Y56" s="163">
        <v>0</v>
      </c>
      <c r="Z56" s="164">
        <v>0</v>
      </c>
      <c r="AA56" s="126" t="s">
        <v>159</v>
      </c>
      <c r="AB56" s="189">
        <f t="shared" si="11"/>
        <v>74.862385321100916</v>
      </c>
      <c r="AC56" s="175">
        <f t="shared" si="17"/>
        <v>77.504587155963307</v>
      </c>
      <c r="AD56" s="175">
        <f>Y56+(W56-AB56)</f>
        <v>10.137614678899084</v>
      </c>
      <c r="AE56" s="175">
        <f>Z56+(X56-AC56)</f>
        <v>10.495412844036693</v>
      </c>
      <c r="AF56" s="182">
        <v>8</v>
      </c>
      <c r="AG56" s="176">
        <f t="shared" si="10"/>
        <v>2.4954128440366929</v>
      </c>
      <c r="AH56" s="198">
        <v>8</v>
      </c>
      <c r="AI56" s="168"/>
      <c r="AJ56" s="102"/>
      <c r="AK56" s="102"/>
    </row>
    <row r="57" spans="1:37" x14ac:dyDescent="0.35">
      <c r="A57" s="32" t="s">
        <v>160</v>
      </c>
      <c r="B57" s="32">
        <f>360+156</f>
        <v>516</v>
      </c>
      <c r="C57" s="36">
        <f t="shared" si="12"/>
        <v>0.28104575163398693</v>
      </c>
      <c r="E57" s="32">
        <v>376</v>
      </c>
      <c r="F57" s="32">
        <v>117</v>
      </c>
      <c r="G57" s="32">
        <v>23</v>
      </c>
      <c r="H57" s="33">
        <f>E57/B57</f>
        <v>0.72868217054263562</v>
      </c>
      <c r="I57" s="33">
        <f t="shared" ref="I57:I62" si="18">F57/B57</f>
        <v>0.22674418604651161</v>
      </c>
      <c r="L57" s="151">
        <f t="shared" si="13"/>
        <v>28.666666666666668</v>
      </c>
      <c r="M57" s="151">
        <f t="shared" si="14"/>
        <v>6.5</v>
      </c>
      <c r="N57" s="151">
        <f t="shared" si="15"/>
        <v>130</v>
      </c>
      <c r="O57" s="151">
        <f t="shared" si="16"/>
        <v>137.80000000000001</v>
      </c>
      <c r="P57" s="152">
        <v>138</v>
      </c>
      <c r="R57" s="167"/>
      <c r="S57" s="32" t="s">
        <v>160</v>
      </c>
      <c r="T57" s="32">
        <v>398</v>
      </c>
      <c r="U57" s="162">
        <v>526</v>
      </c>
      <c r="V57" s="102"/>
      <c r="W57" s="163">
        <v>398</v>
      </c>
      <c r="X57" s="164">
        <v>526</v>
      </c>
      <c r="Y57" s="163">
        <v>0</v>
      </c>
      <c r="Z57" s="164">
        <v>0</v>
      </c>
      <c r="AA57" s="126" t="s">
        <v>160</v>
      </c>
      <c r="AB57" s="189">
        <f t="shared" si="11"/>
        <v>290.01550387596899</v>
      </c>
      <c r="AC57" s="175">
        <f t="shared" si="17"/>
        <v>383.28682170542635</v>
      </c>
      <c r="AD57" s="175">
        <f t="shared" ref="AD57:AE63" si="19">Y57+(W57-AB57)</f>
        <v>107.98449612403101</v>
      </c>
      <c r="AE57" s="175">
        <f t="shared" si="19"/>
        <v>142.71317829457365</v>
      </c>
      <c r="AF57" s="182">
        <v>138</v>
      </c>
      <c r="AG57" s="176">
        <f t="shared" si="10"/>
        <v>4.7131782945736518</v>
      </c>
      <c r="AH57" s="198">
        <v>138</v>
      </c>
      <c r="AI57" s="168"/>
      <c r="AJ57" s="102"/>
      <c r="AK57" s="102"/>
    </row>
    <row r="58" spans="1:37" x14ac:dyDescent="0.35">
      <c r="A58" s="32" t="s">
        <v>161</v>
      </c>
      <c r="B58" s="32">
        <v>3</v>
      </c>
      <c r="C58" s="36">
        <f t="shared" si="12"/>
        <v>1.6339869281045752E-3</v>
      </c>
      <c r="E58" s="32">
        <v>3</v>
      </c>
      <c r="F58" s="32">
        <v>0</v>
      </c>
      <c r="G58" s="32">
        <v>0</v>
      </c>
      <c r="H58" s="33">
        <f t="shared" ref="H58:H60" si="20">E58/B58</f>
        <v>1</v>
      </c>
      <c r="I58" s="33">
        <v>0</v>
      </c>
      <c r="L58" s="151">
        <f t="shared" si="13"/>
        <v>0.16666666666666669</v>
      </c>
      <c r="M58" s="151">
        <f t="shared" si="14"/>
        <v>0</v>
      </c>
      <c r="N58" s="151">
        <f t="shared" si="15"/>
        <v>0</v>
      </c>
      <c r="O58" s="151">
        <f t="shared" si="16"/>
        <v>0</v>
      </c>
      <c r="P58" s="152">
        <v>0</v>
      </c>
      <c r="R58" s="167"/>
      <c r="S58" s="32" t="s">
        <v>161</v>
      </c>
      <c r="T58" s="32">
        <v>0</v>
      </c>
      <c r="U58" s="162">
        <v>0</v>
      </c>
      <c r="V58" s="102"/>
      <c r="W58" s="163">
        <v>0</v>
      </c>
      <c r="X58" s="164">
        <v>0</v>
      </c>
      <c r="Y58" s="163">
        <v>0</v>
      </c>
      <c r="Z58" s="164">
        <v>0</v>
      </c>
      <c r="AA58" s="126" t="s">
        <v>161</v>
      </c>
      <c r="AB58" s="189">
        <f t="shared" si="11"/>
        <v>0</v>
      </c>
      <c r="AC58" s="175">
        <f t="shared" si="17"/>
        <v>0</v>
      </c>
      <c r="AD58" s="175">
        <f t="shared" si="19"/>
        <v>0</v>
      </c>
      <c r="AE58" s="175">
        <f t="shared" si="19"/>
        <v>0</v>
      </c>
      <c r="AF58" s="182">
        <v>0</v>
      </c>
      <c r="AG58" s="176">
        <f t="shared" si="10"/>
        <v>0</v>
      </c>
      <c r="AH58" s="198">
        <v>0</v>
      </c>
      <c r="AI58" s="168"/>
      <c r="AJ58" s="102"/>
      <c r="AK58" s="102"/>
    </row>
    <row r="59" spans="1:37" x14ac:dyDescent="0.35">
      <c r="A59" s="32" t="s">
        <v>162</v>
      </c>
      <c r="B59" s="32">
        <v>134</v>
      </c>
      <c r="C59" s="36">
        <f t="shared" si="12"/>
        <v>7.2984749455337686E-2</v>
      </c>
      <c r="E59" s="32">
        <v>113</v>
      </c>
      <c r="F59" s="32">
        <v>13</v>
      </c>
      <c r="G59" s="32">
        <v>8</v>
      </c>
      <c r="H59" s="33">
        <f>E59/B59</f>
        <v>0.84328358208955223</v>
      </c>
      <c r="I59" s="33">
        <f t="shared" si="18"/>
        <v>9.7014925373134331E-2</v>
      </c>
      <c r="L59" s="151">
        <f t="shared" si="13"/>
        <v>7.4444444444444438</v>
      </c>
      <c r="M59" s="151">
        <f t="shared" si="14"/>
        <v>0.72222222222222221</v>
      </c>
      <c r="N59" s="151">
        <f t="shared" si="15"/>
        <v>14.444444444444445</v>
      </c>
      <c r="O59" s="151">
        <f t="shared" si="16"/>
        <v>15.311111111111112</v>
      </c>
      <c r="P59" s="152">
        <v>15</v>
      </c>
      <c r="R59" s="167"/>
      <c r="S59" s="32" t="s">
        <v>162</v>
      </c>
      <c r="T59" s="32">
        <v>142</v>
      </c>
      <c r="U59" s="162">
        <v>163</v>
      </c>
      <c r="V59" s="102"/>
      <c r="W59" s="163">
        <v>142</v>
      </c>
      <c r="X59" s="164">
        <v>163</v>
      </c>
      <c r="Y59" s="163">
        <v>0</v>
      </c>
      <c r="Z59" s="164">
        <v>0</v>
      </c>
      <c r="AA59" s="126" t="s">
        <v>162</v>
      </c>
      <c r="AB59" s="189">
        <f t="shared" si="11"/>
        <v>119.74626865671641</v>
      </c>
      <c r="AC59" s="175">
        <f t="shared" si="17"/>
        <v>137.455223880597</v>
      </c>
      <c r="AD59" s="175">
        <f t="shared" si="19"/>
        <v>22.25373134328359</v>
      </c>
      <c r="AE59" s="175">
        <f t="shared" si="19"/>
        <v>25.544776119402997</v>
      </c>
      <c r="AF59" s="182">
        <v>15</v>
      </c>
      <c r="AG59" s="176">
        <f t="shared" si="10"/>
        <v>10.544776119402997</v>
      </c>
      <c r="AH59" s="198">
        <v>15</v>
      </c>
      <c r="AI59" s="168"/>
      <c r="AJ59" s="102"/>
      <c r="AK59" s="102"/>
    </row>
    <row r="60" spans="1:37" x14ac:dyDescent="0.35">
      <c r="A60" s="32" t="s">
        <v>163</v>
      </c>
      <c r="B60" s="32">
        <v>5</v>
      </c>
      <c r="C60" s="36">
        <f t="shared" si="12"/>
        <v>2.7233115468409588E-3</v>
      </c>
      <c r="E60" s="32">
        <v>0</v>
      </c>
      <c r="F60" s="32">
        <v>5</v>
      </c>
      <c r="G60" s="32">
        <v>0</v>
      </c>
      <c r="H60" s="33">
        <f t="shared" si="20"/>
        <v>0</v>
      </c>
      <c r="I60" s="33">
        <f t="shared" si="18"/>
        <v>1</v>
      </c>
      <c r="L60" s="151">
        <f t="shared" si="13"/>
        <v>0.27777777777777779</v>
      </c>
      <c r="M60" s="151">
        <f t="shared" si="14"/>
        <v>0.27777777777777779</v>
      </c>
      <c r="N60" s="151">
        <f t="shared" si="15"/>
        <v>5.5555555555555554</v>
      </c>
      <c r="O60" s="151">
        <f t="shared" si="16"/>
        <v>5.8888888888888893</v>
      </c>
      <c r="P60" s="152">
        <v>6</v>
      </c>
      <c r="R60" s="167"/>
      <c r="S60" s="32" t="s">
        <v>163</v>
      </c>
      <c r="T60" s="32">
        <v>20</v>
      </c>
      <c r="U60" s="162">
        <v>21</v>
      </c>
      <c r="V60" s="102"/>
      <c r="W60" s="163">
        <v>18</v>
      </c>
      <c r="X60" s="164">
        <v>19</v>
      </c>
      <c r="Y60" s="163">
        <v>2</v>
      </c>
      <c r="Z60" s="164">
        <v>2</v>
      </c>
      <c r="AA60" s="126" t="s">
        <v>163</v>
      </c>
      <c r="AB60" s="189">
        <f t="shared" si="11"/>
        <v>0</v>
      </c>
      <c r="AC60" s="175">
        <f t="shared" si="17"/>
        <v>0</v>
      </c>
      <c r="AD60" s="175">
        <f t="shared" si="19"/>
        <v>20</v>
      </c>
      <c r="AE60" s="175">
        <f t="shared" si="19"/>
        <v>21</v>
      </c>
      <c r="AF60" s="182">
        <v>6</v>
      </c>
      <c r="AG60" s="176">
        <f t="shared" si="10"/>
        <v>15</v>
      </c>
      <c r="AH60" s="198">
        <v>6</v>
      </c>
      <c r="AI60" s="168"/>
      <c r="AJ60" s="102"/>
      <c r="AK60" s="102"/>
    </row>
    <row r="61" spans="1:37" x14ac:dyDescent="0.35">
      <c r="A61" s="32" t="s">
        <v>164</v>
      </c>
      <c r="B61" s="32">
        <v>367</v>
      </c>
      <c r="C61" s="36">
        <f t="shared" si="12"/>
        <v>0.19989106753812635</v>
      </c>
      <c r="E61" s="32">
        <v>144</v>
      </c>
      <c r="F61" s="32">
        <v>199</v>
      </c>
      <c r="G61" s="32">
        <v>24</v>
      </c>
      <c r="H61" s="33">
        <f>E61/B61</f>
        <v>0.39237057220708449</v>
      </c>
      <c r="I61" s="33">
        <f t="shared" si="18"/>
        <v>0.54223433242506813</v>
      </c>
      <c r="L61" s="151">
        <f t="shared" si="13"/>
        <v>20.388888888888889</v>
      </c>
      <c r="M61" s="151">
        <f t="shared" si="14"/>
        <v>11.055555555555555</v>
      </c>
      <c r="N61" s="151">
        <f t="shared" si="15"/>
        <v>221.11111111111111</v>
      </c>
      <c r="O61" s="151">
        <f t="shared" si="16"/>
        <v>234.37777777777779</v>
      </c>
      <c r="P61" s="152">
        <v>235</v>
      </c>
      <c r="R61" s="167"/>
      <c r="S61" s="32" t="s">
        <v>164</v>
      </c>
      <c r="T61" s="32">
        <v>429</v>
      </c>
      <c r="U61" s="162">
        <v>534</v>
      </c>
      <c r="V61" s="102"/>
      <c r="W61" s="163">
        <v>242</v>
      </c>
      <c r="X61" s="164">
        <v>291</v>
      </c>
      <c r="Y61" s="163">
        <v>187</v>
      </c>
      <c r="Z61" s="164">
        <v>243</v>
      </c>
      <c r="AA61" s="126" t="s">
        <v>164</v>
      </c>
      <c r="AB61" s="189">
        <f t="shared" si="11"/>
        <v>94.95367847411444</v>
      </c>
      <c r="AC61" s="175">
        <f t="shared" si="17"/>
        <v>114.17983651226159</v>
      </c>
      <c r="AD61" s="175">
        <f t="shared" si="19"/>
        <v>334.04632152588556</v>
      </c>
      <c r="AE61" s="175">
        <f t="shared" si="19"/>
        <v>419.8201634877384</v>
      </c>
      <c r="AF61" s="182">
        <v>235</v>
      </c>
      <c r="AG61" s="176">
        <f t="shared" si="10"/>
        <v>184.8201634877384</v>
      </c>
      <c r="AH61" s="198">
        <v>235</v>
      </c>
      <c r="AI61" s="168"/>
      <c r="AJ61" s="102"/>
      <c r="AK61" s="102"/>
    </row>
    <row r="62" spans="1:37" x14ac:dyDescent="0.35">
      <c r="A62" s="32" t="s">
        <v>165</v>
      </c>
      <c r="B62" s="32">
        <v>701</v>
      </c>
      <c r="C62" s="36">
        <f t="shared" si="12"/>
        <v>0.38180827886710239</v>
      </c>
      <c r="E62" s="32">
        <v>361</v>
      </c>
      <c r="F62" s="32">
        <v>286</v>
      </c>
      <c r="G62" s="32">
        <v>54</v>
      </c>
      <c r="H62" s="33">
        <f t="shared" ref="H62" si="21">E62/B62</f>
        <v>0.51497860199714696</v>
      </c>
      <c r="I62" s="33">
        <f t="shared" si="18"/>
        <v>0.40798858773181168</v>
      </c>
      <c r="L62" s="151">
        <f t="shared" si="13"/>
        <v>38.944444444444443</v>
      </c>
      <c r="M62" s="151">
        <f t="shared" si="14"/>
        <v>15.888888888888888</v>
      </c>
      <c r="N62" s="151">
        <f t="shared" si="15"/>
        <v>317.77777777777777</v>
      </c>
      <c r="O62" s="151">
        <f t="shared" si="16"/>
        <v>336.84444444444443</v>
      </c>
      <c r="P62" s="152">
        <v>337</v>
      </c>
      <c r="R62" s="167"/>
      <c r="S62" s="32" t="s">
        <v>165</v>
      </c>
      <c r="T62" s="32">
        <v>578</v>
      </c>
      <c r="U62" s="162">
        <v>818</v>
      </c>
      <c r="V62" s="102"/>
      <c r="W62" s="163">
        <v>492</v>
      </c>
      <c r="X62" s="164">
        <v>713</v>
      </c>
      <c r="Y62" s="163">
        <v>86</v>
      </c>
      <c r="Z62" s="164">
        <v>105</v>
      </c>
      <c r="AA62" s="126" t="s">
        <v>165</v>
      </c>
      <c r="AB62" s="189">
        <f t="shared" si="11"/>
        <v>253.3694721825963</v>
      </c>
      <c r="AC62" s="175">
        <f t="shared" si="17"/>
        <v>367.17974322396577</v>
      </c>
      <c r="AD62" s="175">
        <f t="shared" si="19"/>
        <v>324.63052781740373</v>
      </c>
      <c r="AE62" s="175">
        <f t="shared" si="19"/>
        <v>450.82025677603423</v>
      </c>
      <c r="AF62" s="182">
        <v>337</v>
      </c>
      <c r="AG62" s="176">
        <f t="shared" si="10"/>
        <v>113.82025677603423</v>
      </c>
      <c r="AH62" s="205">
        <v>338</v>
      </c>
      <c r="AI62" s="168"/>
      <c r="AJ62" s="102"/>
      <c r="AK62" s="102"/>
    </row>
    <row r="63" spans="1:37" ht="15" thickBot="1" x14ac:dyDescent="0.4">
      <c r="A63" s="32" t="s">
        <v>166</v>
      </c>
      <c r="B63" s="32">
        <v>1</v>
      </c>
      <c r="C63" s="36">
        <f t="shared" si="12"/>
        <v>5.4466230936819177E-4</v>
      </c>
      <c r="E63" s="32">
        <v>0</v>
      </c>
      <c r="F63" s="32">
        <v>1</v>
      </c>
      <c r="G63" s="32">
        <v>0</v>
      </c>
      <c r="H63" s="33">
        <v>0</v>
      </c>
      <c r="I63" s="33">
        <v>1</v>
      </c>
      <c r="L63" s="179">
        <f t="shared" si="13"/>
        <v>5.5555555555555559E-2</v>
      </c>
      <c r="M63" s="179">
        <f t="shared" si="14"/>
        <v>5.5555555555555559E-2</v>
      </c>
      <c r="N63" s="179">
        <f t="shared" si="15"/>
        <v>1.1111111111111112</v>
      </c>
      <c r="O63" s="179">
        <f t="shared" si="16"/>
        <v>1.1777777777777778</v>
      </c>
      <c r="P63" s="180">
        <v>1</v>
      </c>
      <c r="R63" s="167"/>
      <c r="S63" s="32" t="s">
        <v>166</v>
      </c>
      <c r="T63" s="32">
        <v>0</v>
      </c>
      <c r="U63" s="162">
        <f t="shared" ref="U63" si="22">X63+Z63</f>
        <v>0</v>
      </c>
      <c r="V63" s="102"/>
      <c r="W63" s="163">
        <v>0</v>
      </c>
      <c r="X63" s="164">
        <v>0</v>
      </c>
      <c r="Y63" s="163">
        <v>0</v>
      </c>
      <c r="Z63" s="164">
        <v>0</v>
      </c>
      <c r="AA63" s="140" t="s">
        <v>166</v>
      </c>
      <c r="AB63" s="190">
        <f t="shared" si="11"/>
        <v>0</v>
      </c>
      <c r="AC63" s="183">
        <f t="shared" si="17"/>
        <v>0</v>
      </c>
      <c r="AD63" s="183">
        <f t="shared" si="19"/>
        <v>0</v>
      </c>
      <c r="AE63" s="183">
        <f t="shared" si="19"/>
        <v>0</v>
      </c>
      <c r="AF63" s="184">
        <v>1</v>
      </c>
      <c r="AG63" s="185">
        <f t="shared" si="10"/>
        <v>-1</v>
      </c>
      <c r="AH63" s="206">
        <v>0</v>
      </c>
      <c r="AI63" s="168"/>
      <c r="AJ63" s="102"/>
      <c r="AK63" s="102"/>
    </row>
    <row r="64" spans="1:37" ht="14.5" customHeight="1" thickTop="1" thickBot="1" x14ac:dyDescent="0.4">
      <c r="A64" t="s">
        <v>29</v>
      </c>
      <c r="B64" s="2">
        <f>SUM(B54:B63)</f>
        <v>1836</v>
      </c>
      <c r="C64" s="37">
        <f>SUM(C55:C63)</f>
        <v>1</v>
      </c>
      <c r="E64" s="2">
        <f>SUM(E52:E63)</f>
        <v>1093</v>
      </c>
      <c r="F64" s="2">
        <f>SUM(F52:F63)</f>
        <v>628</v>
      </c>
      <c r="G64" s="2">
        <f>SUM(G52:G63)</f>
        <v>115</v>
      </c>
      <c r="H64" t="s">
        <v>29</v>
      </c>
      <c r="I64" s="2">
        <f>E64+F64+G64</f>
        <v>1836</v>
      </c>
      <c r="L64" s="178">
        <f>SUM(L52:L63)</f>
        <v>102</v>
      </c>
      <c r="M64" s="178">
        <f>SUM(M52:M63)</f>
        <v>34.888888888888886</v>
      </c>
      <c r="N64" s="178">
        <f>SUM(N52:N63)</f>
        <v>697.77777777777783</v>
      </c>
      <c r="O64" s="178">
        <f>SUM(O52:O63)</f>
        <v>739.6444444444445</v>
      </c>
      <c r="P64" s="178">
        <f>SUM(P52:P63)</f>
        <v>740</v>
      </c>
      <c r="R64" s="167"/>
      <c r="S64" s="102" t="s">
        <v>29</v>
      </c>
      <c r="T64" s="5">
        <f>SUM(T54:T63)</f>
        <v>1652</v>
      </c>
      <c r="U64" s="5">
        <f>SUM(U55:U63)</f>
        <v>2150</v>
      </c>
      <c r="V64" s="102"/>
      <c r="W64" s="5">
        <f>SUM(W52:W63)</f>
        <v>1377</v>
      </c>
      <c r="X64" s="5">
        <f t="shared" ref="X64:Z64" si="23">SUM(X52:X63)</f>
        <v>1800</v>
      </c>
      <c r="Y64" s="5">
        <f t="shared" si="23"/>
        <v>275</v>
      </c>
      <c r="Z64" s="5">
        <f t="shared" si="23"/>
        <v>350</v>
      </c>
      <c r="AA64" s="102"/>
      <c r="AB64" s="191">
        <f>SUM(AB52:AB63)</f>
        <v>832.94730851049701</v>
      </c>
      <c r="AC64" s="192">
        <f>SUM(AC52:AC63)</f>
        <v>1079.606212478214</v>
      </c>
      <c r="AD64" s="192">
        <f t="shared" ref="AD64" si="24">SUM(AD52:AD63)</f>
        <v>819.05269148950299</v>
      </c>
      <c r="AE64" s="192">
        <f>SUM(AE52:AE63)</f>
        <v>1070.393787521786</v>
      </c>
      <c r="AF64" s="192">
        <f>SUM(AF52:AF63)</f>
        <v>740</v>
      </c>
      <c r="AG64" s="193" t="s">
        <v>199</v>
      </c>
      <c r="AH64" s="199">
        <f>SUM(AH52:AH63)</f>
        <v>740</v>
      </c>
      <c r="AI64" s="168"/>
      <c r="AJ64" s="102"/>
      <c r="AK64" s="102"/>
    </row>
    <row r="65" spans="18:37" x14ac:dyDescent="0.35">
      <c r="R65" s="167"/>
      <c r="S65" s="102"/>
      <c r="T65" s="102"/>
      <c r="U65" s="102"/>
      <c r="V65" s="102"/>
      <c r="W65" s="102"/>
      <c r="X65" s="5"/>
      <c r="Y65" s="102"/>
      <c r="Z65" s="5"/>
      <c r="AA65" s="5"/>
      <c r="AB65" s="102"/>
      <c r="AC65" s="5"/>
      <c r="AD65" s="102"/>
      <c r="AE65" s="165"/>
      <c r="AF65" s="165"/>
      <c r="AG65" s="165"/>
      <c r="AH65" s="165"/>
      <c r="AI65" s="168"/>
      <c r="AJ65" s="102"/>
      <c r="AK65" s="102"/>
    </row>
    <row r="66" spans="18:37" x14ac:dyDescent="0.35">
      <c r="R66" s="167"/>
      <c r="S66" s="102"/>
      <c r="T66" s="102"/>
      <c r="U66" s="102"/>
      <c r="V66" s="102"/>
      <c r="W66" s="166" t="s">
        <v>29</v>
      </c>
      <c r="X66" s="102"/>
      <c r="Y66" s="102"/>
      <c r="Z66" s="5" t="s">
        <v>29</v>
      </c>
      <c r="AA66" s="102"/>
      <c r="AB66" s="5" t="s">
        <v>29</v>
      </c>
      <c r="AC66" s="102"/>
      <c r="AD66" s="102"/>
      <c r="AE66" s="5" t="s">
        <v>29</v>
      </c>
      <c r="AF66" s="5"/>
      <c r="AG66" s="5"/>
      <c r="AH66" s="5"/>
      <c r="AI66" s="168"/>
      <c r="AJ66" s="102"/>
      <c r="AK66" s="102"/>
    </row>
    <row r="67" spans="18:37" x14ac:dyDescent="0.35">
      <c r="R67" s="167"/>
      <c r="S67" s="102"/>
      <c r="T67" s="102"/>
      <c r="U67" s="102"/>
      <c r="V67" s="102"/>
      <c r="W67" s="166" t="s">
        <v>194</v>
      </c>
      <c r="X67" s="102"/>
      <c r="Y67" s="102"/>
      <c r="Z67" s="5" t="s">
        <v>195</v>
      </c>
      <c r="AA67" s="102"/>
      <c r="AB67" s="166" t="s">
        <v>194</v>
      </c>
      <c r="AC67" s="102"/>
      <c r="AD67" s="102"/>
      <c r="AE67" s="5" t="s">
        <v>195</v>
      </c>
      <c r="AF67" s="5"/>
      <c r="AG67" s="5"/>
      <c r="AH67" s="5"/>
      <c r="AI67" s="168"/>
      <c r="AJ67" s="102"/>
      <c r="AK67" s="102"/>
    </row>
    <row r="68" spans="18:37" x14ac:dyDescent="0.35">
      <c r="R68" s="167"/>
      <c r="S68" s="102"/>
      <c r="T68" s="102"/>
      <c r="U68" s="102"/>
      <c r="V68" s="102"/>
      <c r="W68" s="5">
        <f>W64+Y64</f>
        <v>1652</v>
      </c>
      <c r="X68" s="102"/>
      <c r="Y68" s="102"/>
      <c r="Z68" s="5">
        <f>X64+Z64</f>
        <v>2150</v>
      </c>
      <c r="AA68" s="102"/>
      <c r="AB68" s="165">
        <f>AB64+AD64</f>
        <v>1652</v>
      </c>
      <c r="AC68" s="102"/>
      <c r="AD68" s="102"/>
      <c r="AE68" s="165">
        <f>AC64+AE64</f>
        <v>2150</v>
      </c>
      <c r="AF68" s="165"/>
      <c r="AG68" s="165"/>
      <c r="AH68" s="165"/>
      <c r="AI68" s="168"/>
      <c r="AJ68" s="102"/>
      <c r="AK68" s="102"/>
    </row>
    <row r="69" spans="18:37" ht="15" thickBot="1" x14ac:dyDescent="0.4">
      <c r="R69" s="169"/>
      <c r="S69" s="170"/>
      <c r="T69" s="170"/>
      <c r="U69" s="170"/>
      <c r="V69" s="170"/>
      <c r="W69" s="170"/>
      <c r="X69" s="170"/>
      <c r="Y69" s="170"/>
      <c r="Z69" s="170"/>
      <c r="AA69" s="170"/>
      <c r="AB69" s="170"/>
      <c r="AC69" s="170"/>
      <c r="AD69" s="170"/>
      <c r="AE69" s="170"/>
      <c r="AF69" s="170"/>
      <c r="AG69" s="170"/>
      <c r="AH69" s="170"/>
      <c r="AI69" s="171"/>
      <c r="AJ69" s="102"/>
      <c r="AK69" s="102"/>
    </row>
    <row r="70" spans="18:37" ht="15" thickTop="1" x14ac:dyDescent="0.35">
      <c r="R70" s="102"/>
      <c r="S70" s="47" t="s">
        <v>171</v>
      </c>
      <c r="T70" s="102"/>
      <c r="U70" s="102"/>
      <c r="V70" s="102"/>
      <c r="W70" s="102"/>
      <c r="X70" s="102"/>
      <c r="Y70" s="102"/>
      <c r="Z70" s="102"/>
      <c r="AA70" s="102"/>
      <c r="AB70" s="102"/>
      <c r="AC70" s="102"/>
      <c r="AD70" s="102"/>
      <c r="AE70" s="102"/>
      <c r="AF70" s="102"/>
      <c r="AG70" s="102"/>
      <c r="AH70" s="102"/>
      <c r="AI70" s="102"/>
      <c r="AJ70" s="102"/>
      <c r="AK70" s="102"/>
    </row>
    <row r="71" spans="18:37" x14ac:dyDescent="0.35">
      <c r="S71" t="s">
        <v>172</v>
      </c>
      <c r="AJ71" s="102"/>
      <c r="AK71" s="102"/>
    </row>
    <row r="72" spans="18:37" x14ac:dyDescent="0.35">
      <c r="S72" s="25" t="s">
        <v>173</v>
      </c>
      <c r="AJ72" s="102"/>
      <c r="AK72" s="102"/>
    </row>
    <row r="73" spans="18:37" x14ac:dyDescent="0.35">
      <c r="T73" s="25" t="s">
        <v>174</v>
      </c>
      <c r="AJ73" s="102"/>
      <c r="AK73" s="102"/>
    </row>
    <row r="74" spans="18:37" x14ac:dyDescent="0.35">
      <c r="T74" s="25" t="s">
        <v>175</v>
      </c>
    </row>
  </sheetData>
  <mergeCells count="8">
    <mergeCell ref="A3:A4"/>
    <mergeCell ref="W49:Z49"/>
    <mergeCell ref="AA49:AA51"/>
    <mergeCell ref="AB49:AG49"/>
    <mergeCell ref="W50:X50"/>
    <mergeCell ref="Y50:Z50"/>
    <mergeCell ref="AB50:AC50"/>
    <mergeCell ref="AD50:AG50"/>
  </mergeCells>
  <pageMargins left="0.5" right="0.5" top="0.3" bottom="0.5" header="0.3" footer="0.3"/>
  <pageSetup paperSize="5" orientation="landscape" r:id="rId1"/>
  <headerFooter>
    <oddFooter>&amp;F</oddFooter>
  </headerFooter>
  <rowBreaks count="1" manualBreakCount="1">
    <brk id="2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zoomScaleNormal="100" workbookViewId="0">
      <selection activeCell="J18" sqref="J18"/>
    </sheetView>
  </sheetViews>
  <sheetFormatPr defaultRowHeight="14.5" x14ac:dyDescent="0.35"/>
  <cols>
    <col min="1" max="1" width="4.7265625" customWidth="1"/>
    <col min="2" max="2" width="44.54296875" customWidth="1"/>
    <col min="4" max="4" width="10.26953125" customWidth="1"/>
    <col min="10" max="10" width="9.7265625" customWidth="1"/>
    <col min="12" max="12" width="17.7265625" customWidth="1"/>
    <col min="13" max="13" width="5.7265625" customWidth="1"/>
  </cols>
  <sheetData>
    <row r="1" spans="2:12" ht="26.5" customHeight="1" thickBot="1" x14ac:dyDescent="0.4">
      <c r="B1" s="226" t="s">
        <v>124</v>
      </c>
      <c r="C1" s="227"/>
      <c r="D1" s="227"/>
      <c r="E1" s="227"/>
      <c r="F1" s="227"/>
      <c r="G1" s="227"/>
      <c r="H1" s="227"/>
      <c r="I1" s="227"/>
      <c r="J1" s="227"/>
      <c r="K1" s="227"/>
      <c r="L1" s="228"/>
    </row>
    <row r="2" spans="2:12" ht="35.5" customHeight="1" x14ac:dyDescent="0.35">
      <c r="B2" s="229" t="s">
        <v>148</v>
      </c>
      <c r="C2" s="244" t="s">
        <v>68</v>
      </c>
      <c r="D2" s="245"/>
      <c r="E2" s="246"/>
      <c r="F2" s="231" t="s">
        <v>69</v>
      </c>
      <c r="G2" s="232"/>
      <c r="H2" s="233"/>
      <c r="I2" s="234" t="s">
        <v>150</v>
      </c>
      <c r="J2" s="235"/>
      <c r="K2" s="236"/>
      <c r="L2" s="224" t="s">
        <v>71</v>
      </c>
    </row>
    <row r="3" spans="2:12" ht="60" customHeight="1" x14ac:dyDescent="0.35">
      <c r="B3" s="230"/>
      <c r="C3" s="238" t="s">
        <v>149</v>
      </c>
      <c r="D3" s="239"/>
      <c r="E3" s="240"/>
      <c r="F3" s="241" t="str">
        <f>C4</f>
        <v>Total</v>
      </c>
      <c r="G3" s="242" t="str">
        <f>D4</f>
        <v>Water Service Areas</v>
      </c>
      <c r="H3" s="243" t="str">
        <f>E4</f>
        <v>P-E Well Areas</v>
      </c>
      <c r="I3" s="234"/>
      <c r="J3" s="237"/>
      <c r="K3" s="236"/>
      <c r="L3" s="224"/>
    </row>
    <row r="4" spans="2:12" ht="65.5" customHeight="1" x14ac:dyDescent="0.35">
      <c r="B4" s="230"/>
      <c r="C4" s="55" t="s">
        <v>20</v>
      </c>
      <c r="D4" s="56" t="s">
        <v>21</v>
      </c>
      <c r="E4" s="57" t="s">
        <v>22</v>
      </c>
      <c r="F4" s="241"/>
      <c r="G4" s="242"/>
      <c r="H4" s="243"/>
      <c r="I4" s="58" t="s">
        <v>20</v>
      </c>
      <c r="J4" s="59" t="s">
        <v>21</v>
      </c>
      <c r="K4" s="60" t="s">
        <v>22</v>
      </c>
      <c r="L4" s="113" t="s">
        <v>70</v>
      </c>
    </row>
    <row r="5" spans="2:12" x14ac:dyDescent="0.35">
      <c r="B5" s="61" t="s">
        <v>139</v>
      </c>
      <c r="C5" s="6">
        <v>0</v>
      </c>
      <c r="D5" s="7">
        <v>0</v>
      </c>
      <c r="E5" s="74">
        <v>0</v>
      </c>
      <c r="F5" s="93">
        <f t="shared" ref="F5:F7" si="0">G5+H5</f>
        <v>7</v>
      </c>
      <c r="G5" s="94">
        <v>5</v>
      </c>
      <c r="H5" s="95">
        <v>2</v>
      </c>
      <c r="I5" s="63">
        <f t="shared" ref="I5:K8" si="1">F5-C5</f>
        <v>7</v>
      </c>
      <c r="J5" s="64">
        <f t="shared" si="1"/>
        <v>5</v>
      </c>
      <c r="K5" s="65">
        <f t="shared" si="1"/>
        <v>2</v>
      </c>
      <c r="L5" s="114">
        <v>0</v>
      </c>
    </row>
    <row r="6" spans="2:12" x14ac:dyDescent="0.35">
      <c r="B6" s="61" t="s">
        <v>140</v>
      </c>
      <c r="C6" s="6">
        <v>279</v>
      </c>
      <c r="D6" s="7">
        <v>102</v>
      </c>
      <c r="E6" s="62">
        <v>177</v>
      </c>
      <c r="F6" s="93">
        <f t="shared" si="0"/>
        <v>393</v>
      </c>
      <c r="G6" s="94">
        <v>275</v>
      </c>
      <c r="H6" s="95">
        <v>118</v>
      </c>
      <c r="I6" s="63">
        <f t="shared" si="1"/>
        <v>114</v>
      </c>
      <c r="J6" s="64">
        <f t="shared" si="1"/>
        <v>173</v>
      </c>
      <c r="K6" s="66">
        <f t="shared" si="1"/>
        <v>-59</v>
      </c>
      <c r="L6" s="200">
        <f>E6-(-K6)</f>
        <v>118</v>
      </c>
    </row>
    <row r="7" spans="2:12" ht="15" thickBot="1" x14ac:dyDescent="0.4">
      <c r="B7" s="61" t="s">
        <v>141</v>
      </c>
      <c r="C7" s="6">
        <v>161</v>
      </c>
      <c r="D7" s="7">
        <v>128</v>
      </c>
      <c r="E7" s="62">
        <v>33</v>
      </c>
      <c r="F7" s="96">
        <f t="shared" si="0"/>
        <v>253</v>
      </c>
      <c r="G7" s="94">
        <v>145</v>
      </c>
      <c r="H7" s="95">
        <v>108</v>
      </c>
      <c r="I7" s="63">
        <f t="shared" si="1"/>
        <v>92</v>
      </c>
      <c r="J7" s="64">
        <f t="shared" si="1"/>
        <v>17</v>
      </c>
      <c r="K7" s="65">
        <f t="shared" si="1"/>
        <v>75</v>
      </c>
      <c r="L7" s="201">
        <f>E7+(-K6)</f>
        <v>92</v>
      </c>
    </row>
    <row r="8" spans="2:12" ht="15.5" thickTop="1" thickBot="1" x14ac:dyDescent="0.4">
      <c r="B8" s="67" t="s">
        <v>19</v>
      </c>
      <c r="C8" s="68">
        <f>SUM(C5:C7)</f>
        <v>440</v>
      </c>
      <c r="D8" s="69">
        <f>SUM(D5:D7)</f>
        <v>230</v>
      </c>
      <c r="E8" s="70">
        <f t="shared" ref="E8" si="2">SUM(E5:E7)</f>
        <v>210</v>
      </c>
      <c r="F8" s="97">
        <f>SUM(F5:F7)</f>
        <v>653</v>
      </c>
      <c r="G8" s="98">
        <f>SUM(G5:G7)</f>
        <v>425</v>
      </c>
      <c r="H8" s="99">
        <f>SUM(H5:H7)</f>
        <v>228</v>
      </c>
      <c r="I8" s="71">
        <f t="shared" si="1"/>
        <v>213</v>
      </c>
      <c r="J8" s="72">
        <f t="shared" si="1"/>
        <v>195</v>
      </c>
      <c r="K8" s="73">
        <f t="shared" si="1"/>
        <v>18</v>
      </c>
      <c r="L8" s="115">
        <f>SUM(L5:L7)</f>
        <v>210</v>
      </c>
    </row>
    <row r="9" spans="2:12" ht="15" thickTop="1" x14ac:dyDescent="0.35"/>
    <row r="10" spans="2:12" x14ac:dyDescent="0.35">
      <c r="B10" t="s">
        <v>26</v>
      </c>
    </row>
    <row r="11" spans="2:12" x14ac:dyDescent="0.35">
      <c r="B11" t="s">
        <v>76</v>
      </c>
    </row>
    <row r="12" spans="2:12" ht="32.5" customHeight="1" x14ac:dyDescent="0.35">
      <c r="B12" s="225" t="s">
        <v>106</v>
      </c>
      <c r="C12" s="225"/>
      <c r="D12" s="225"/>
      <c r="E12" s="225"/>
      <c r="F12" s="225"/>
      <c r="G12" s="225"/>
      <c r="H12" s="225"/>
      <c r="I12" s="225"/>
      <c r="J12" s="225"/>
      <c r="K12" s="225"/>
      <c r="L12" s="225"/>
    </row>
    <row r="13" spans="2:12" x14ac:dyDescent="0.35">
      <c r="B13" s="47"/>
    </row>
    <row r="14" spans="2:12" x14ac:dyDescent="0.35">
      <c r="B14" t="s">
        <v>73</v>
      </c>
    </row>
    <row r="15" spans="2:12" x14ac:dyDescent="0.35">
      <c r="B15" t="s">
        <v>74</v>
      </c>
    </row>
    <row r="16" spans="2:12" x14ac:dyDescent="0.35">
      <c r="B16" t="s">
        <v>75</v>
      </c>
      <c r="L16" s="25" t="s">
        <v>137</v>
      </c>
    </row>
  </sheetData>
  <mergeCells count="11">
    <mergeCell ref="L2:L3"/>
    <mergeCell ref="B12:L12"/>
    <mergeCell ref="B1:L1"/>
    <mergeCell ref="B2:B4"/>
    <mergeCell ref="F2:H2"/>
    <mergeCell ref="I2:K3"/>
    <mergeCell ref="C3:E3"/>
    <mergeCell ref="F3:F4"/>
    <mergeCell ref="G3:G4"/>
    <mergeCell ref="H3:H4"/>
    <mergeCell ref="C2:E2"/>
  </mergeCells>
  <pageMargins left="0.7" right="0.7" top="0.75" bottom="0.75" header="0.3" footer="0.3"/>
  <pageSetup paperSize="5"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B13" zoomScaleNormal="100" workbookViewId="0">
      <selection activeCell="I4" sqref="I4"/>
    </sheetView>
  </sheetViews>
  <sheetFormatPr defaultRowHeight="14.5" x14ac:dyDescent="0.35"/>
  <cols>
    <col min="1" max="1" width="4.81640625" customWidth="1"/>
    <col min="2" max="2" width="24.26953125" customWidth="1"/>
    <col min="3" max="3" width="11.54296875" customWidth="1"/>
    <col min="4" max="4" width="11.26953125" customWidth="1"/>
    <col min="5" max="5" width="12.81640625" customWidth="1"/>
    <col min="6" max="6" width="13" customWidth="1"/>
    <col min="7" max="7" width="16" customWidth="1"/>
    <col min="8" max="8" width="13.7265625" customWidth="1"/>
    <col min="9" max="9" width="14.26953125" customWidth="1"/>
    <col min="10" max="10" width="6.1796875" customWidth="1"/>
  </cols>
  <sheetData>
    <row r="1" spans="2:9" ht="23.5" x14ac:dyDescent="0.55000000000000004">
      <c r="B1" s="250" t="s">
        <v>125</v>
      </c>
      <c r="C1" s="250"/>
      <c r="D1" s="250"/>
      <c r="E1" s="250"/>
      <c r="F1" s="250"/>
      <c r="G1" s="250"/>
      <c r="H1" s="250"/>
      <c r="I1" s="25" t="s">
        <v>137</v>
      </c>
    </row>
    <row r="2" spans="2:9" ht="12.65" customHeight="1" thickBot="1" x14ac:dyDescent="0.6">
      <c r="B2" s="257"/>
      <c r="C2" s="257"/>
      <c r="D2" s="257"/>
      <c r="E2" s="257"/>
      <c r="F2" s="257"/>
      <c r="G2" s="257"/>
      <c r="H2" s="257"/>
    </row>
    <row r="3" spans="2:9" ht="15" thickBot="1" x14ac:dyDescent="0.4">
      <c r="B3" s="251" t="s">
        <v>133</v>
      </c>
      <c r="C3" s="252"/>
      <c r="D3" s="252"/>
      <c r="E3" s="252"/>
      <c r="F3" s="252"/>
      <c r="G3" s="252"/>
      <c r="H3" s="253"/>
    </row>
    <row r="4" spans="2:9" ht="102" thickBot="1" x14ac:dyDescent="0.4">
      <c r="B4" s="75" t="s">
        <v>77</v>
      </c>
      <c r="C4" s="76" t="s">
        <v>126</v>
      </c>
      <c r="D4" s="77" t="s">
        <v>127</v>
      </c>
      <c r="E4" s="77" t="s">
        <v>128</v>
      </c>
      <c r="F4" s="76" t="s">
        <v>129</v>
      </c>
      <c r="G4" s="77" t="s">
        <v>79</v>
      </c>
      <c r="H4" s="78" t="s">
        <v>78</v>
      </c>
    </row>
    <row r="5" spans="2:9" x14ac:dyDescent="0.35">
      <c r="B5" s="79" t="s">
        <v>80</v>
      </c>
      <c r="C5" s="32">
        <v>129</v>
      </c>
      <c r="D5" s="32">
        <v>66</v>
      </c>
      <c r="E5" s="32">
        <v>7</v>
      </c>
      <c r="F5" s="32">
        <v>40</v>
      </c>
      <c r="G5" s="32">
        <v>14</v>
      </c>
      <c r="H5" s="9">
        <v>5</v>
      </c>
    </row>
    <row r="6" spans="2:9" x14ac:dyDescent="0.35">
      <c r="B6" s="80" t="s">
        <v>81</v>
      </c>
      <c r="C6" s="34">
        <v>76</v>
      </c>
      <c r="D6" s="34">
        <v>48</v>
      </c>
      <c r="E6" s="34">
        <v>2</v>
      </c>
      <c r="F6" s="34">
        <v>11</v>
      </c>
      <c r="G6" s="34">
        <v>28</v>
      </c>
      <c r="H6" s="16">
        <v>7</v>
      </c>
    </row>
    <row r="7" spans="2:9" x14ac:dyDescent="0.35">
      <c r="B7" s="81" t="s">
        <v>25</v>
      </c>
      <c r="C7" s="34">
        <f>C5+C6</f>
        <v>205</v>
      </c>
      <c r="D7" s="34">
        <f t="shared" ref="D7:H7" si="0">D5+D6</f>
        <v>114</v>
      </c>
      <c r="E7" s="34">
        <f t="shared" si="0"/>
        <v>9</v>
      </c>
      <c r="F7" s="34">
        <f t="shared" si="0"/>
        <v>51</v>
      </c>
      <c r="G7" s="34">
        <f>G5+G6</f>
        <v>42</v>
      </c>
      <c r="H7" s="16">
        <f t="shared" si="0"/>
        <v>12</v>
      </c>
    </row>
    <row r="8" spans="2:9" ht="15" thickBot="1" x14ac:dyDescent="0.4">
      <c r="B8" s="83" t="s">
        <v>82</v>
      </c>
      <c r="C8" s="84"/>
      <c r="D8" s="85">
        <f>D7/C7</f>
        <v>0.55609756097560981</v>
      </c>
      <c r="E8" s="85">
        <f>E7/D7</f>
        <v>7.8947368421052627E-2</v>
      </c>
      <c r="F8" s="85">
        <f>F7/D7</f>
        <v>0.44736842105263158</v>
      </c>
      <c r="G8" s="85">
        <f>G7/D7</f>
        <v>0.36842105263157893</v>
      </c>
      <c r="H8" s="86">
        <f>H7/D7</f>
        <v>0.10526315789473684</v>
      </c>
      <c r="I8" s="82"/>
    </row>
    <row r="9" spans="2:9" ht="15" thickTop="1" x14ac:dyDescent="0.35">
      <c r="B9" s="254" t="s">
        <v>111</v>
      </c>
      <c r="C9" s="255"/>
      <c r="D9" s="255"/>
      <c r="E9" s="255"/>
      <c r="F9" s="255"/>
      <c r="G9" s="255"/>
      <c r="H9" s="256"/>
    </row>
    <row r="10" spans="2:9" ht="15" thickBot="1" x14ac:dyDescent="0.4">
      <c r="B10" s="87" t="s">
        <v>44</v>
      </c>
      <c r="C10" s="88"/>
      <c r="D10" s="88"/>
      <c r="E10" s="89">
        <f>E8*C7</f>
        <v>16.184210526315788</v>
      </c>
      <c r="F10" s="90">
        <f>F8*C7</f>
        <v>91.71052631578948</v>
      </c>
      <c r="G10" s="90">
        <f>G8*C7</f>
        <v>75.526315789473685</v>
      </c>
      <c r="H10" s="91">
        <f>H8*C7</f>
        <v>21.578947368421051</v>
      </c>
      <c r="I10" s="3"/>
    </row>
    <row r="11" spans="2:9" x14ac:dyDescent="0.35">
      <c r="E11" s="8"/>
      <c r="F11" s="8"/>
      <c r="G11" s="8"/>
      <c r="H11" s="8"/>
      <c r="I11" s="3"/>
    </row>
    <row r="12" spans="2:9" x14ac:dyDescent="0.35">
      <c r="B12" t="s">
        <v>26</v>
      </c>
    </row>
    <row r="13" spans="2:9" x14ac:dyDescent="0.35">
      <c r="B13" t="s">
        <v>96</v>
      </c>
    </row>
    <row r="14" spans="2:9" x14ac:dyDescent="0.35">
      <c r="B14" t="s">
        <v>97</v>
      </c>
    </row>
    <row r="15" spans="2:9" x14ac:dyDescent="0.35">
      <c r="B15" t="s">
        <v>122</v>
      </c>
    </row>
    <row r="16" spans="2:9" ht="31.9" customHeight="1" x14ac:dyDescent="0.35">
      <c r="B16" s="258" t="s">
        <v>83</v>
      </c>
      <c r="C16" s="258"/>
      <c r="D16" s="258"/>
      <c r="E16" s="258"/>
      <c r="F16" s="258"/>
      <c r="G16" s="258"/>
      <c r="H16" s="258"/>
      <c r="I16" s="92"/>
    </row>
    <row r="17" spans="2:9" ht="10.9" customHeight="1" x14ac:dyDescent="0.35">
      <c r="B17" s="104"/>
      <c r="C17" s="104"/>
      <c r="D17" s="104"/>
      <c r="E17" s="104"/>
      <c r="F17" s="104"/>
      <c r="G17" s="104"/>
      <c r="H17" s="104"/>
      <c r="I17" s="104"/>
    </row>
    <row r="18" spans="2:9" x14ac:dyDescent="0.35">
      <c r="B18" t="s">
        <v>91</v>
      </c>
    </row>
    <row r="19" spans="2:9" x14ac:dyDescent="0.35">
      <c r="B19" t="s">
        <v>131</v>
      </c>
    </row>
    <row r="20" spans="2:9" x14ac:dyDescent="0.35">
      <c r="B20" t="s">
        <v>92</v>
      </c>
    </row>
    <row r="21" spans="2:9" x14ac:dyDescent="0.35">
      <c r="B21" t="s">
        <v>93</v>
      </c>
    </row>
    <row r="22" spans="2:9" x14ac:dyDescent="0.35">
      <c r="B22" t="s">
        <v>94</v>
      </c>
    </row>
    <row r="23" spans="2:9" x14ac:dyDescent="0.35">
      <c r="B23" t="s">
        <v>95</v>
      </c>
    </row>
    <row r="24" spans="2:9" x14ac:dyDescent="0.35">
      <c r="B24" s="92"/>
      <c r="C24" s="92"/>
      <c r="D24" s="92"/>
      <c r="E24" s="92"/>
      <c r="F24" s="92"/>
      <c r="G24" s="92"/>
      <c r="H24" s="92"/>
      <c r="I24" s="92"/>
    </row>
    <row r="25" spans="2:9" ht="23.5" x14ac:dyDescent="0.55000000000000004">
      <c r="B25" s="247" t="s">
        <v>125</v>
      </c>
      <c r="C25" s="248"/>
      <c r="D25" s="248"/>
      <c r="E25" s="248"/>
      <c r="F25" s="248"/>
      <c r="G25" s="248"/>
      <c r="H25" s="248"/>
      <c r="I25" s="249"/>
    </row>
    <row r="26" spans="2:9" ht="43.5" x14ac:dyDescent="0.35">
      <c r="B26" s="123" t="s">
        <v>130</v>
      </c>
      <c r="C26" s="124" t="s">
        <v>109</v>
      </c>
      <c r="D26" s="125" t="s">
        <v>110</v>
      </c>
      <c r="E26" s="126" t="s">
        <v>20</v>
      </c>
      <c r="F26" s="127" t="s">
        <v>98</v>
      </c>
      <c r="G26" s="128" t="s">
        <v>108</v>
      </c>
      <c r="H26" s="129" t="s">
        <v>27</v>
      </c>
      <c r="I26" s="123" t="s">
        <v>84</v>
      </c>
    </row>
    <row r="27" spans="2:9" x14ac:dyDescent="0.35">
      <c r="B27" s="45" t="s">
        <v>4</v>
      </c>
      <c r="C27" s="34">
        <v>0</v>
      </c>
      <c r="D27" s="34">
        <v>0</v>
      </c>
      <c r="E27" s="105">
        <f>C27+D27</f>
        <v>0</v>
      </c>
      <c r="F27" s="108">
        <f>E27*1.77</f>
        <v>0</v>
      </c>
      <c r="G27" s="109">
        <v>0</v>
      </c>
      <c r="H27" s="106" t="s">
        <v>14</v>
      </c>
      <c r="I27" s="45"/>
    </row>
    <row r="28" spans="2:9" x14ac:dyDescent="0.35">
      <c r="B28" s="45" t="s">
        <v>7</v>
      </c>
      <c r="C28" s="34">
        <v>1</v>
      </c>
      <c r="D28" s="34">
        <v>0</v>
      </c>
      <c r="E28" s="105">
        <f t="shared" ref="E28:E35" si="1">C28+D28</f>
        <v>1</v>
      </c>
      <c r="F28" s="108">
        <f t="shared" ref="F28:F38" si="2">E28*1.77</f>
        <v>1.77</v>
      </c>
      <c r="G28" s="109">
        <v>2</v>
      </c>
      <c r="H28" s="106" t="s">
        <v>15</v>
      </c>
      <c r="I28" s="45" t="s">
        <v>85</v>
      </c>
    </row>
    <row r="29" spans="2:9" x14ac:dyDescent="0.35">
      <c r="B29" s="45" t="s">
        <v>8</v>
      </c>
      <c r="C29" s="34">
        <v>3</v>
      </c>
      <c r="D29" s="34">
        <v>0</v>
      </c>
      <c r="E29" s="105">
        <f t="shared" si="1"/>
        <v>3</v>
      </c>
      <c r="F29" s="108">
        <f t="shared" si="2"/>
        <v>5.3100000000000005</v>
      </c>
      <c r="G29" s="109">
        <v>5</v>
      </c>
      <c r="H29" s="106" t="s">
        <v>15</v>
      </c>
      <c r="I29" s="45" t="s">
        <v>86</v>
      </c>
    </row>
    <row r="30" spans="2:9" x14ac:dyDescent="0.35">
      <c r="B30" s="45" t="s">
        <v>9</v>
      </c>
      <c r="C30" s="34">
        <v>0</v>
      </c>
      <c r="D30" s="34">
        <v>0</v>
      </c>
      <c r="E30" s="105">
        <f t="shared" si="1"/>
        <v>0</v>
      </c>
      <c r="F30" s="108">
        <f t="shared" si="2"/>
        <v>0</v>
      </c>
      <c r="G30" s="109">
        <v>0</v>
      </c>
      <c r="H30" s="106" t="s">
        <v>15</v>
      </c>
      <c r="I30" s="45"/>
    </row>
    <row r="31" spans="2:9" x14ac:dyDescent="0.35">
      <c r="B31" s="45" t="s">
        <v>10</v>
      </c>
      <c r="C31" s="34">
        <v>0</v>
      </c>
      <c r="D31" s="34">
        <v>0</v>
      </c>
      <c r="E31" s="105">
        <f t="shared" si="1"/>
        <v>0</v>
      </c>
      <c r="F31" s="108">
        <f t="shared" si="2"/>
        <v>0</v>
      </c>
      <c r="G31" s="109">
        <v>0</v>
      </c>
      <c r="H31" s="106" t="s">
        <v>87</v>
      </c>
      <c r="I31" s="45"/>
    </row>
    <row r="32" spans="2:9" x14ac:dyDescent="0.35">
      <c r="B32" s="45" t="s">
        <v>11</v>
      </c>
      <c r="C32" s="34">
        <v>1</v>
      </c>
      <c r="D32" s="34">
        <v>1</v>
      </c>
      <c r="E32" s="105">
        <f t="shared" si="1"/>
        <v>2</v>
      </c>
      <c r="F32" s="108">
        <f t="shared" si="2"/>
        <v>3.54</v>
      </c>
      <c r="G32" s="109">
        <v>4</v>
      </c>
      <c r="H32" s="106" t="s">
        <v>15</v>
      </c>
      <c r="I32" s="45" t="s">
        <v>88</v>
      </c>
    </row>
    <row r="33" spans="1:9" x14ac:dyDescent="0.35">
      <c r="B33" s="45" t="s">
        <v>12</v>
      </c>
      <c r="C33" s="34">
        <v>1</v>
      </c>
      <c r="D33" s="34">
        <v>1</v>
      </c>
      <c r="E33" s="105">
        <f t="shared" si="1"/>
        <v>2</v>
      </c>
      <c r="F33" s="108">
        <f t="shared" si="2"/>
        <v>3.54</v>
      </c>
      <c r="G33" s="109">
        <v>4</v>
      </c>
      <c r="H33" s="106" t="s">
        <v>15</v>
      </c>
      <c r="I33" s="45" t="s">
        <v>89</v>
      </c>
    </row>
    <row r="34" spans="1:9" x14ac:dyDescent="0.35">
      <c r="B34" s="45" t="s">
        <v>18</v>
      </c>
      <c r="C34" s="34">
        <v>0</v>
      </c>
      <c r="D34" s="34">
        <v>0</v>
      </c>
      <c r="E34" s="105">
        <f>C34+D34</f>
        <v>0</v>
      </c>
      <c r="F34" s="108">
        <f t="shared" si="2"/>
        <v>0</v>
      </c>
      <c r="G34" s="109">
        <v>0</v>
      </c>
      <c r="H34" s="106" t="s">
        <v>14</v>
      </c>
      <c r="I34" s="45"/>
    </row>
    <row r="35" spans="1:9" x14ac:dyDescent="0.35">
      <c r="B35" s="45" t="s">
        <v>13</v>
      </c>
      <c r="C35" s="34">
        <v>0</v>
      </c>
      <c r="D35" s="34">
        <v>0</v>
      </c>
      <c r="E35" s="105">
        <f t="shared" si="1"/>
        <v>0</v>
      </c>
      <c r="F35" s="108">
        <f t="shared" si="2"/>
        <v>0</v>
      </c>
      <c r="G35" s="109">
        <v>0</v>
      </c>
      <c r="H35" s="106" t="s">
        <v>14</v>
      </c>
      <c r="I35" s="45"/>
    </row>
    <row r="36" spans="1:9" x14ac:dyDescent="0.35">
      <c r="B36" s="45" t="s">
        <v>5</v>
      </c>
      <c r="C36" s="34">
        <v>0</v>
      </c>
      <c r="D36" s="34">
        <v>0</v>
      </c>
      <c r="E36" s="105">
        <f>C36+D36</f>
        <v>0</v>
      </c>
      <c r="F36" s="108">
        <f t="shared" si="2"/>
        <v>0</v>
      </c>
      <c r="G36" s="109">
        <v>0</v>
      </c>
      <c r="H36" s="106" t="s">
        <v>14</v>
      </c>
      <c r="I36" s="45"/>
    </row>
    <row r="37" spans="1:9" x14ac:dyDescent="0.35">
      <c r="B37" s="45" t="s">
        <v>6</v>
      </c>
      <c r="C37" s="34">
        <v>1</v>
      </c>
      <c r="D37" s="34">
        <v>0</v>
      </c>
      <c r="E37" s="105">
        <f>C37+D37</f>
        <v>1</v>
      </c>
      <c r="F37" s="108">
        <f t="shared" si="2"/>
        <v>1.77</v>
      </c>
      <c r="G37" s="109">
        <v>2</v>
      </c>
      <c r="H37" s="106" t="s">
        <v>14</v>
      </c>
      <c r="I37" s="45" t="s">
        <v>90</v>
      </c>
    </row>
    <row r="38" spans="1:9" x14ac:dyDescent="0.35">
      <c r="B38" s="45" t="s">
        <v>17</v>
      </c>
      <c r="C38" s="34">
        <v>0</v>
      </c>
      <c r="D38" s="34">
        <v>0</v>
      </c>
      <c r="E38" s="105">
        <f>C38+D38</f>
        <v>0</v>
      </c>
      <c r="F38" s="108">
        <f t="shared" si="2"/>
        <v>0</v>
      </c>
      <c r="G38" s="109">
        <v>0</v>
      </c>
      <c r="H38" s="106" t="s">
        <v>14</v>
      </c>
      <c r="I38" s="45"/>
    </row>
    <row r="39" spans="1:9" ht="15" thickBot="1" x14ac:dyDescent="0.4">
      <c r="B39" s="45" t="s">
        <v>25</v>
      </c>
      <c r="C39" s="34">
        <f t="shared" ref="C39:D39" si="3">SUM(C27:C38)</f>
        <v>7</v>
      </c>
      <c r="D39" s="34">
        <f t="shared" si="3"/>
        <v>2</v>
      </c>
      <c r="E39" s="105">
        <f>SUM(E27:E38)</f>
        <v>9</v>
      </c>
      <c r="F39" s="110">
        <f>SUM(F27:F38)</f>
        <v>15.93</v>
      </c>
      <c r="G39" s="111">
        <f>SUM(G27:G38)</f>
        <v>17</v>
      </c>
      <c r="H39" s="107"/>
      <c r="I39" s="45"/>
    </row>
    <row r="40" spans="1:9" x14ac:dyDescent="0.35">
      <c r="A40" s="102"/>
      <c r="B40" s="4"/>
      <c r="C40" s="103"/>
    </row>
    <row r="41" spans="1:9" ht="63" customHeight="1" x14ac:dyDescent="0.35">
      <c r="B41" s="210" t="s">
        <v>132</v>
      </c>
      <c r="C41" s="210"/>
      <c r="D41" s="210"/>
      <c r="E41" s="210"/>
      <c r="F41" s="210"/>
      <c r="G41" s="210"/>
      <c r="H41" s="210"/>
      <c r="I41" s="210"/>
    </row>
  </sheetData>
  <mergeCells count="7">
    <mergeCell ref="B41:I41"/>
    <mergeCell ref="B25:I25"/>
    <mergeCell ref="B1:H1"/>
    <mergeCell ref="B3:H3"/>
    <mergeCell ref="B9:H9"/>
    <mergeCell ref="B2:H2"/>
    <mergeCell ref="B16:H16"/>
  </mergeCells>
  <pageMargins left="0.7" right="0.7" top="0.75" bottom="0.75" header="0.3" footer="0.3"/>
  <pageSetup paperSize="5" orientation="landscape" r:id="rId1"/>
  <headerFooter>
    <oddFooter>&amp;F</oddFooter>
  </headerFooter>
  <rowBreaks count="1" manualBreakCount="1">
    <brk id="2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80" zoomScaleNormal="80" workbookViewId="0">
      <selection activeCell="C9" sqref="C9"/>
    </sheetView>
  </sheetViews>
  <sheetFormatPr defaultRowHeight="14.5" x14ac:dyDescent="0.35"/>
  <cols>
    <col min="1" max="1" width="22.08984375" style="259" customWidth="1"/>
    <col min="2" max="5" width="38.54296875" style="259" customWidth="1"/>
    <col min="6" max="6" width="14.453125" customWidth="1"/>
  </cols>
  <sheetData>
    <row r="1" spans="1:7" x14ac:dyDescent="0.35">
      <c r="A1" s="276" t="s">
        <v>258</v>
      </c>
      <c r="B1" s="276"/>
      <c r="C1" s="276"/>
      <c r="D1" s="276"/>
      <c r="E1" s="276"/>
    </row>
    <row r="2" spans="1:7" x14ac:dyDescent="0.35">
      <c r="A2" s="276"/>
      <c r="B2" s="276"/>
      <c r="C2" s="276"/>
      <c r="D2" s="276"/>
      <c r="E2" s="276"/>
    </row>
    <row r="3" spans="1:7" ht="27.9" customHeight="1" x14ac:dyDescent="0.35">
      <c r="A3" s="262" t="s">
        <v>257</v>
      </c>
      <c r="B3" s="262"/>
      <c r="C3" s="262"/>
      <c r="D3" s="262"/>
      <c r="E3" s="262"/>
    </row>
    <row r="5" spans="1:7" ht="29" x14ac:dyDescent="0.35">
      <c r="A5" s="266" t="s">
        <v>256</v>
      </c>
      <c r="B5" s="275" t="s">
        <v>255</v>
      </c>
      <c r="C5" s="274" t="s">
        <v>253</v>
      </c>
      <c r="D5" s="273" t="s">
        <v>254</v>
      </c>
      <c r="E5" s="272" t="s">
        <v>253</v>
      </c>
    </row>
    <row r="6" spans="1:7" ht="29" x14ac:dyDescent="0.35">
      <c r="A6" s="266" t="s">
        <v>252</v>
      </c>
      <c r="B6" s="263" t="s">
        <v>251</v>
      </c>
      <c r="C6" s="265" t="s">
        <v>250</v>
      </c>
      <c r="D6" s="264" t="s">
        <v>249</v>
      </c>
      <c r="E6" s="263"/>
    </row>
    <row r="7" spans="1:7" x14ac:dyDescent="0.35">
      <c r="A7" s="266" t="s">
        <v>248</v>
      </c>
      <c r="B7" s="263" t="s">
        <v>247</v>
      </c>
      <c r="C7" s="265"/>
      <c r="D7" s="264" t="s">
        <v>247</v>
      </c>
      <c r="E7" s="263"/>
      <c r="F7" s="271"/>
    </row>
    <row r="8" spans="1:7" ht="29" x14ac:dyDescent="0.35">
      <c r="A8" s="266" t="s">
        <v>246</v>
      </c>
      <c r="B8" s="263" t="s">
        <v>245</v>
      </c>
      <c r="C8" s="265" t="s">
        <v>244</v>
      </c>
      <c r="D8" s="264" t="s">
        <v>245</v>
      </c>
      <c r="E8" s="263" t="s">
        <v>244</v>
      </c>
    </row>
    <row r="9" spans="1:7" ht="87" x14ac:dyDescent="0.35">
      <c r="A9" s="266" t="s">
        <v>243</v>
      </c>
      <c r="B9" s="263" t="s">
        <v>242</v>
      </c>
      <c r="C9" s="265" t="s">
        <v>241</v>
      </c>
      <c r="D9" s="264" t="s">
        <v>240</v>
      </c>
      <c r="E9" s="263" t="s">
        <v>239</v>
      </c>
    </row>
    <row r="10" spans="1:7" x14ac:dyDescent="0.35">
      <c r="A10" s="266" t="s">
        <v>238</v>
      </c>
      <c r="B10" s="263" t="s">
        <v>237</v>
      </c>
      <c r="C10" s="265"/>
      <c r="D10" s="264" t="s">
        <v>236</v>
      </c>
      <c r="E10" s="263"/>
    </row>
    <row r="11" spans="1:7" ht="58" x14ac:dyDescent="0.35">
      <c r="A11" s="266" t="s">
        <v>235</v>
      </c>
      <c r="B11" s="263" t="s">
        <v>234</v>
      </c>
      <c r="C11" s="265" t="s">
        <v>233</v>
      </c>
      <c r="D11" s="264" t="s">
        <v>232</v>
      </c>
      <c r="E11" s="263"/>
    </row>
    <row r="12" spans="1:7" ht="43.5" x14ac:dyDescent="0.35">
      <c r="A12" s="266" t="s">
        <v>231</v>
      </c>
      <c r="B12" s="263" t="s">
        <v>230</v>
      </c>
      <c r="C12" s="265"/>
      <c r="D12" s="264" t="s">
        <v>229</v>
      </c>
      <c r="E12" s="263"/>
    </row>
    <row r="13" spans="1:7" ht="43.5" x14ac:dyDescent="0.35">
      <c r="A13" s="266" t="s">
        <v>228</v>
      </c>
      <c r="B13" s="270" t="s">
        <v>227</v>
      </c>
      <c r="C13" s="269" t="s">
        <v>226</v>
      </c>
      <c r="D13" s="264" t="s">
        <v>225</v>
      </c>
      <c r="E13" s="263" t="s">
        <v>224</v>
      </c>
      <c r="F13" s="268"/>
      <c r="G13" s="102"/>
    </row>
    <row r="14" spans="1:7" ht="43.5" x14ac:dyDescent="0.35">
      <c r="A14" s="266" t="s">
        <v>223</v>
      </c>
      <c r="B14" s="263" t="s">
        <v>222</v>
      </c>
      <c r="C14" s="265"/>
      <c r="D14" s="264" t="s">
        <v>221</v>
      </c>
      <c r="E14" s="263"/>
    </row>
    <row r="15" spans="1:7" ht="58" x14ac:dyDescent="0.35">
      <c r="A15" s="266" t="s">
        <v>220</v>
      </c>
      <c r="B15" s="263" t="s">
        <v>219</v>
      </c>
      <c r="C15" s="265"/>
      <c r="D15" s="264" t="s">
        <v>218</v>
      </c>
      <c r="E15" s="263"/>
      <c r="F15" s="267"/>
      <c r="G15" s="102"/>
    </row>
    <row r="16" spans="1:7" ht="58" x14ac:dyDescent="0.35">
      <c r="A16" s="266" t="s">
        <v>217</v>
      </c>
      <c r="B16" s="263" t="s">
        <v>216</v>
      </c>
      <c r="C16" s="265" t="s">
        <v>215</v>
      </c>
      <c r="D16" s="264" t="s">
        <v>214</v>
      </c>
      <c r="E16" s="263" t="s">
        <v>213</v>
      </c>
    </row>
    <row r="18" spans="1:5" ht="17.399999999999999" customHeight="1" x14ac:dyDescent="0.35">
      <c r="A18" s="261" t="s">
        <v>212</v>
      </c>
      <c r="B18" s="261"/>
      <c r="C18" s="261"/>
      <c r="D18" s="261"/>
      <c r="E18" s="261"/>
    </row>
    <row r="19" spans="1:5" ht="17.399999999999999" customHeight="1" x14ac:dyDescent="0.35">
      <c r="A19" s="262" t="s">
        <v>211</v>
      </c>
      <c r="B19" s="262"/>
      <c r="C19" s="262"/>
      <c r="D19" s="262"/>
      <c r="E19" s="262"/>
    </row>
    <row r="20" spans="1:5" ht="17.399999999999999" customHeight="1" x14ac:dyDescent="0.35">
      <c r="A20" s="261" t="s">
        <v>210</v>
      </c>
      <c r="B20" s="261"/>
      <c r="C20" s="261"/>
      <c r="D20" s="261"/>
      <c r="E20" s="261"/>
    </row>
    <row r="21" spans="1:5" ht="17.399999999999999" customHeight="1" x14ac:dyDescent="0.35">
      <c r="A21" s="261" t="s">
        <v>209</v>
      </c>
      <c r="B21" s="261"/>
      <c r="C21" s="261"/>
      <c r="D21" s="261"/>
      <c r="E21" s="261"/>
    </row>
    <row r="22" spans="1:5" ht="17.399999999999999" customHeight="1" x14ac:dyDescent="0.35">
      <c r="A22" s="261"/>
      <c r="B22" s="261"/>
      <c r="C22" s="261"/>
      <c r="D22" s="261"/>
      <c r="E22" s="261"/>
    </row>
    <row r="23" spans="1:5" x14ac:dyDescent="0.35">
      <c r="A23" s="260" t="s">
        <v>208</v>
      </c>
    </row>
    <row r="24" spans="1:5" x14ac:dyDescent="0.35">
      <c r="A24" s="260" t="s">
        <v>207</v>
      </c>
    </row>
    <row r="25" spans="1:5" x14ac:dyDescent="0.35">
      <c r="A25" s="260"/>
    </row>
  </sheetData>
  <mergeCells count="7">
    <mergeCell ref="A1:E2"/>
    <mergeCell ref="A3:E3"/>
    <mergeCell ref="A19:E19"/>
    <mergeCell ref="A21:E21"/>
    <mergeCell ref="A22:E22"/>
    <mergeCell ref="A20:E20"/>
    <mergeCell ref="A18:E18"/>
  </mergeCells>
  <pageMargins left="0.7" right="0.7"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9" sqref="A9"/>
    </sheetView>
  </sheetViews>
  <sheetFormatPr defaultRowHeight="14.5" x14ac:dyDescent="0.35"/>
  <cols>
    <col min="1" max="1" width="82.54296875" customWidth="1"/>
    <col min="2" max="2" width="1.90625" customWidth="1"/>
    <col min="3" max="3" width="31" customWidth="1"/>
    <col min="4" max="4" width="56.1796875" style="208" customWidth="1"/>
  </cols>
  <sheetData>
    <row r="1" spans="1:4" s="300" customFormat="1" ht="21" x14ac:dyDescent="0.5">
      <c r="A1" s="304" t="s">
        <v>290</v>
      </c>
      <c r="B1" s="303"/>
      <c r="C1" s="302" t="s">
        <v>184</v>
      </c>
      <c r="D1" s="301"/>
    </row>
    <row r="2" spans="1:4" ht="37" x14ac:dyDescent="0.45">
      <c r="A2" s="299" t="s">
        <v>289</v>
      </c>
      <c r="B2" s="298"/>
      <c r="C2" s="297" t="s">
        <v>288</v>
      </c>
    </row>
    <row r="3" spans="1:4" s="102" customFormat="1" ht="18.5" x14ac:dyDescent="0.45">
      <c r="A3" s="294"/>
      <c r="B3" s="294"/>
      <c r="C3" s="296"/>
      <c r="D3" s="138"/>
    </row>
    <row r="4" spans="1:4" ht="18.5" x14ac:dyDescent="0.45">
      <c r="A4" s="295" t="s">
        <v>287</v>
      </c>
      <c r="B4" s="294"/>
      <c r="C4" s="293"/>
    </row>
    <row r="5" spans="1:4" s="100" customFormat="1" ht="43.5" x14ac:dyDescent="0.35">
      <c r="A5" s="278" t="s">
        <v>286</v>
      </c>
      <c r="B5" s="278"/>
      <c r="C5" s="278" t="s">
        <v>263</v>
      </c>
      <c r="D5" s="277"/>
    </row>
    <row r="6" spans="1:4" s="100" customFormat="1" ht="58" x14ac:dyDescent="0.35">
      <c r="A6" s="280" t="s">
        <v>285</v>
      </c>
      <c r="B6" s="289"/>
      <c r="C6" s="278" t="s">
        <v>276</v>
      </c>
      <c r="D6" s="277"/>
    </row>
    <row r="7" spans="1:4" s="100" customFormat="1" ht="101.5" x14ac:dyDescent="0.35">
      <c r="A7" s="288" t="s">
        <v>275</v>
      </c>
      <c r="B7" s="287"/>
      <c r="C7" s="278" t="s">
        <v>274</v>
      </c>
      <c r="D7" s="277"/>
    </row>
    <row r="8" spans="1:4" s="100" customFormat="1" ht="58" x14ac:dyDescent="0.35">
      <c r="A8" s="280" t="s">
        <v>284</v>
      </c>
      <c r="B8" s="289"/>
      <c r="C8" s="278" t="s">
        <v>283</v>
      </c>
      <c r="D8" s="277"/>
    </row>
    <row r="9" spans="1:4" s="4" customFormat="1" ht="87" x14ac:dyDescent="0.35">
      <c r="A9" s="278" t="s">
        <v>282</v>
      </c>
      <c r="B9" s="292"/>
      <c r="C9" s="278" t="s">
        <v>281</v>
      </c>
      <c r="D9" s="207"/>
    </row>
    <row r="10" spans="1:4" s="100" customFormat="1" x14ac:dyDescent="0.35">
      <c r="A10" s="207"/>
      <c r="B10" s="207"/>
      <c r="C10" s="207"/>
      <c r="D10" s="277"/>
    </row>
    <row r="11" spans="1:4" s="100" customFormat="1" ht="18.5" x14ac:dyDescent="0.45">
      <c r="A11" s="291" t="s">
        <v>280</v>
      </c>
      <c r="B11" s="290"/>
      <c r="C11" s="284"/>
      <c r="D11" s="277"/>
    </row>
    <row r="12" spans="1:4" s="100" customFormat="1" ht="145" x14ac:dyDescent="0.35">
      <c r="A12" s="278" t="s">
        <v>279</v>
      </c>
      <c r="B12" s="278"/>
      <c r="C12" s="280" t="s">
        <v>278</v>
      </c>
      <c r="D12" s="277"/>
    </row>
    <row r="13" spans="1:4" s="100" customFormat="1" ht="58" x14ac:dyDescent="0.35">
      <c r="A13" s="280" t="s">
        <v>277</v>
      </c>
      <c r="B13" s="289"/>
      <c r="C13" s="278" t="s">
        <v>276</v>
      </c>
      <c r="D13" s="277"/>
    </row>
    <row r="14" spans="1:4" s="100" customFormat="1" ht="101.5" x14ac:dyDescent="0.35">
      <c r="A14" s="288" t="s">
        <v>275</v>
      </c>
      <c r="B14" s="287"/>
      <c r="C14" s="278" t="s">
        <v>274</v>
      </c>
      <c r="D14" s="277"/>
    </row>
    <row r="15" spans="1:4" s="4" customFormat="1" x14ac:dyDescent="0.35">
      <c r="A15" s="207"/>
      <c r="B15" s="207"/>
      <c r="C15" s="207"/>
      <c r="D15" s="207"/>
    </row>
    <row r="16" spans="1:4" s="100" customFormat="1" ht="29" x14ac:dyDescent="0.35">
      <c r="A16" s="286" t="s">
        <v>273</v>
      </c>
      <c r="B16" s="285"/>
      <c r="C16" s="284"/>
      <c r="D16" s="277"/>
    </row>
    <row r="17" spans="1:4" s="100" customFormat="1" ht="29" x14ac:dyDescent="0.35">
      <c r="A17" s="278" t="s">
        <v>272</v>
      </c>
      <c r="B17" s="282"/>
      <c r="C17" s="278" t="s">
        <v>271</v>
      </c>
      <c r="D17" s="277"/>
    </row>
    <row r="18" spans="1:4" s="100" customFormat="1" ht="87" x14ac:dyDescent="0.35">
      <c r="A18" s="278" t="s">
        <v>270</v>
      </c>
      <c r="B18" s="282"/>
      <c r="C18" s="278" t="s">
        <v>269</v>
      </c>
      <c r="D18" s="277"/>
    </row>
    <row r="19" spans="1:4" s="100" customFormat="1" ht="29" x14ac:dyDescent="0.35">
      <c r="A19" s="278" t="s">
        <v>268</v>
      </c>
      <c r="B19" s="283"/>
      <c r="C19" s="278" t="s">
        <v>267</v>
      </c>
      <c r="D19" s="277"/>
    </row>
    <row r="20" spans="1:4" s="100" customFormat="1" ht="43.5" x14ac:dyDescent="0.35">
      <c r="A20" s="278" t="s">
        <v>266</v>
      </c>
      <c r="B20" s="282"/>
      <c r="C20" s="278" t="s">
        <v>265</v>
      </c>
      <c r="D20" s="277"/>
    </row>
    <row r="21" spans="1:4" s="100" customFormat="1" ht="29" x14ac:dyDescent="0.35">
      <c r="A21" s="280" t="s">
        <v>264</v>
      </c>
      <c r="B21" s="279"/>
      <c r="C21" s="278" t="s">
        <v>263</v>
      </c>
      <c r="D21" s="277"/>
    </row>
    <row r="22" spans="1:4" s="100" customFormat="1" ht="29" x14ac:dyDescent="0.35">
      <c r="A22" s="280" t="s">
        <v>262</v>
      </c>
      <c r="B22" s="281"/>
      <c r="C22" s="278" t="s">
        <v>261</v>
      </c>
      <c r="D22" s="277"/>
    </row>
    <row r="23" spans="1:4" s="100" customFormat="1" ht="58" x14ac:dyDescent="0.35">
      <c r="A23" s="280" t="s">
        <v>260</v>
      </c>
      <c r="B23" s="279"/>
      <c r="C23" s="278" t="s">
        <v>259</v>
      </c>
      <c r="D23" s="277"/>
    </row>
    <row r="24" spans="1:4" s="100" customFormat="1" x14ac:dyDescent="0.35">
      <c r="A24" s="277"/>
      <c r="B24" s="277"/>
      <c r="C24" s="277"/>
      <c r="D24" s="277"/>
    </row>
    <row r="25" spans="1:4" s="100" customFormat="1" x14ac:dyDescent="0.35">
      <c r="A25" s="277"/>
      <c r="B25" s="277"/>
      <c r="C25" s="277"/>
      <c r="D25" s="277"/>
    </row>
    <row r="26" spans="1:4" s="100" customFormat="1" x14ac:dyDescent="0.35">
      <c r="A26" s="277"/>
      <c r="B26" s="277"/>
      <c r="C26" s="277"/>
      <c r="D26" s="277"/>
    </row>
    <row r="27" spans="1:4" x14ac:dyDescent="0.35">
      <c r="A27" s="277"/>
      <c r="B27" s="277"/>
      <c r="C27" s="100"/>
    </row>
    <row r="28" spans="1:4" x14ac:dyDescent="0.35">
      <c r="A28" s="208"/>
      <c r="B28" s="208"/>
    </row>
    <row r="29" spans="1:4" x14ac:dyDescent="0.35">
      <c r="A29" s="208"/>
      <c r="B29" s="208"/>
    </row>
    <row r="30" spans="1:4" x14ac:dyDescent="0.35">
      <c r="A30" s="208"/>
      <c r="B30" s="208"/>
    </row>
    <row r="31" spans="1:4" x14ac:dyDescent="0.35">
      <c r="A31" s="208"/>
      <c r="B31" s="208"/>
    </row>
    <row r="32" spans="1:4" x14ac:dyDescent="0.35">
      <c r="A32" s="208"/>
      <c r="B32" s="208"/>
    </row>
    <row r="33" spans="1:2" x14ac:dyDescent="0.35">
      <c r="A33" s="208"/>
      <c r="B33" s="208"/>
    </row>
    <row r="34" spans="1:2" x14ac:dyDescent="0.35">
      <c r="A34" s="208"/>
      <c r="B34" s="20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H5" sqref="H5"/>
    </sheetView>
  </sheetViews>
  <sheetFormatPr defaultRowHeight="14.5" x14ac:dyDescent="0.35"/>
  <cols>
    <col min="1" max="1" width="82.54296875" customWidth="1"/>
    <col min="2" max="2" width="1.81640625" customWidth="1"/>
    <col min="3" max="3" width="29.54296875" customWidth="1"/>
  </cols>
  <sheetData>
    <row r="1" spans="1:4" s="300" customFormat="1" ht="21" x14ac:dyDescent="0.5">
      <c r="A1" s="304" t="s">
        <v>318</v>
      </c>
      <c r="B1" s="303"/>
      <c r="C1" s="302" t="s">
        <v>184</v>
      </c>
    </row>
    <row r="2" spans="1:4" ht="37" x14ac:dyDescent="0.45">
      <c r="A2" s="320" t="s">
        <v>289</v>
      </c>
      <c r="B2" s="319"/>
      <c r="C2" s="318" t="s">
        <v>288</v>
      </c>
    </row>
    <row r="3" spans="1:4" x14ac:dyDescent="0.35">
      <c r="A3" s="307"/>
      <c r="B3" s="314"/>
      <c r="C3" s="106"/>
    </row>
    <row r="4" spans="1:4" ht="18.5" x14ac:dyDescent="0.45">
      <c r="A4" s="295" t="s">
        <v>287</v>
      </c>
      <c r="B4" s="294"/>
      <c r="C4" s="293"/>
      <c r="D4" s="208"/>
    </row>
    <row r="5" spans="1:4" ht="72.5" x14ac:dyDescent="0.35">
      <c r="A5" s="311" t="s">
        <v>301</v>
      </c>
      <c r="B5" s="314"/>
      <c r="C5" s="308" t="s">
        <v>300</v>
      </c>
    </row>
    <row r="6" spans="1:4" ht="87" x14ac:dyDescent="0.35">
      <c r="A6" s="316" t="s">
        <v>317</v>
      </c>
      <c r="B6" s="310"/>
      <c r="C6" s="317" t="s">
        <v>316</v>
      </c>
    </row>
    <row r="7" spans="1:4" x14ac:dyDescent="0.35">
      <c r="A7" s="316"/>
      <c r="B7" s="315"/>
      <c r="C7" s="129"/>
    </row>
    <row r="8" spans="1:4" s="100" customFormat="1" ht="18.5" x14ac:dyDescent="0.45">
      <c r="A8" s="291" t="s">
        <v>315</v>
      </c>
      <c r="B8" s="290"/>
      <c r="C8" s="284"/>
      <c r="D8" s="277"/>
    </row>
    <row r="9" spans="1:4" ht="29" x14ac:dyDescent="0.35">
      <c r="A9" s="307" t="s">
        <v>314</v>
      </c>
      <c r="B9" s="309"/>
      <c r="C9" s="308" t="s">
        <v>271</v>
      </c>
    </row>
    <row r="10" spans="1:4" ht="29" x14ac:dyDescent="0.35">
      <c r="A10" s="307" t="s">
        <v>313</v>
      </c>
      <c r="B10" s="314"/>
      <c r="C10" s="308" t="s">
        <v>312</v>
      </c>
    </row>
    <row r="11" spans="1:4" ht="29" x14ac:dyDescent="0.35">
      <c r="A11" s="307" t="s">
        <v>311</v>
      </c>
      <c r="B11" s="310"/>
      <c r="C11" s="308" t="s">
        <v>309</v>
      </c>
    </row>
    <row r="12" spans="1:4" ht="58" x14ac:dyDescent="0.35">
      <c r="A12" s="307" t="s">
        <v>310</v>
      </c>
      <c r="B12" s="306"/>
      <c r="C12" s="308" t="s">
        <v>309</v>
      </c>
    </row>
    <row r="13" spans="1:4" x14ac:dyDescent="0.35">
      <c r="A13" s="307"/>
      <c r="B13" s="314"/>
      <c r="C13" s="308"/>
    </row>
    <row r="14" spans="1:4" x14ac:dyDescent="0.35">
      <c r="A14" s="313" t="s">
        <v>308</v>
      </c>
      <c r="B14" s="312"/>
      <c r="C14" s="308"/>
    </row>
    <row r="15" spans="1:4" x14ac:dyDescent="0.35">
      <c r="A15" s="307" t="s">
        <v>307</v>
      </c>
      <c r="B15" s="309"/>
      <c r="C15" s="308" t="s">
        <v>303</v>
      </c>
    </row>
    <row r="16" spans="1:4" ht="29" x14ac:dyDescent="0.35">
      <c r="A16" s="307" t="s">
        <v>306</v>
      </c>
      <c r="B16" s="309"/>
      <c r="C16" s="308" t="s">
        <v>303</v>
      </c>
    </row>
    <row r="17" spans="1:3" ht="43.5" x14ac:dyDescent="0.35">
      <c r="A17" s="307" t="s">
        <v>305</v>
      </c>
      <c r="B17" s="309"/>
      <c r="C17" s="308" t="s">
        <v>303</v>
      </c>
    </row>
    <row r="18" spans="1:3" ht="29" x14ac:dyDescent="0.35">
      <c r="A18" s="307" t="s">
        <v>304</v>
      </c>
      <c r="B18" s="309"/>
      <c r="C18" s="308" t="s">
        <v>303</v>
      </c>
    </row>
    <row r="19" spans="1:3" x14ac:dyDescent="0.35">
      <c r="A19" s="307"/>
      <c r="B19" s="314"/>
      <c r="C19" s="308"/>
    </row>
    <row r="20" spans="1:3" x14ac:dyDescent="0.35">
      <c r="A20" s="313" t="s">
        <v>302</v>
      </c>
      <c r="B20" s="312"/>
      <c r="C20" s="308"/>
    </row>
    <row r="21" spans="1:3" ht="72.5" x14ac:dyDescent="0.35">
      <c r="A21" s="311" t="s">
        <v>301</v>
      </c>
      <c r="B21" s="314"/>
      <c r="C21" s="308" t="s">
        <v>300</v>
      </c>
    </row>
    <row r="22" spans="1:3" ht="58" x14ac:dyDescent="0.35">
      <c r="A22" s="307" t="s">
        <v>299</v>
      </c>
      <c r="B22" s="309"/>
      <c r="C22" s="308" t="s">
        <v>298</v>
      </c>
    </row>
    <row r="23" spans="1:3" x14ac:dyDescent="0.35">
      <c r="A23" s="307"/>
      <c r="B23" s="314"/>
      <c r="C23" s="308"/>
    </row>
    <row r="24" spans="1:3" x14ac:dyDescent="0.35">
      <c r="A24" s="313" t="s">
        <v>297</v>
      </c>
      <c r="B24" s="312"/>
      <c r="C24" s="106"/>
    </row>
    <row r="25" spans="1:3" ht="58" x14ac:dyDescent="0.35">
      <c r="A25" s="311" t="s">
        <v>296</v>
      </c>
      <c r="B25" s="310"/>
      <c r="C25" s="308" t="s">
        <v>295</v>
      </c>
    </row>
    <row r="26" spans="1:3" ht="29" x14ac:dyDescent="0.35">
      <c r="A26" s="307" t="s">
        <v>294</v>
      </c>
      <c r="B26" s="309"/>
      <c r="C26" s="308" t="s">
        <v>293</v>
      </c>
    </row>
    <row r="27" spans="1:3" ht="58" x14ac:dyDescent="0.35">
      <c r="A27" s="307" t="s">
        <v>292</v>
      </c>
      <c r="B27" s="306"/>
      <c r="C27" s="305" t="s">
        <v>291</v>
      </c>
    </row>
    <row r="28" spans="1:3" x14ac:dyDescent="0.35">
      <c r="A28" s="208"/>
      <c r="B28" s="208"/>
      <c r="C28" s="208"/>
    </row>
    <row r="29" spans="1:3" x14ac:dyDescent="0.35">
      <c r="A29" s="208"/>
      <c r="B29" s="208"/>
      <c r="C29" s="208"/>
    </row>
    <row r="30" spans="1:3" x14ac:dyDescent="0.35">
      <c r="A30" s="208"/>
      <c r="B30" s="208"/>
      <c r="C30" s="208"/>
    </row>
    <row r="31" spans="1:3" x14ac:dyDescent="0.35">
      <c r="A31" s="208"/>
      <c r="B31" s="208"/>
    </row>
    <row r="32" spans="1:3" x14ac:dyDescent="0.35">
      <c r="A32" s="208"/>
      <c r="B32" s="208"/>
    </row>
    <row r="33" spans="1:2" x14ac:dyDescent="0.35">
      <c r="A33" s="208"/>
      <c r="B33" s="208"/>
    </row>
    <row r="34" spans="1:2" x14ac:dyDescent="0.35">
      <c r="A34" s="208"/>
      <c r="B34" s="208"/>
    </row>
    <row r="35" spans="1:2" x14ac:dyDescent="0.35">
      <c r="A35" s="208"/>
      <c r="B35" s="208"/>
    </row>
    <row r="36" spans="1:2" x14ac:dyDescent="0.35">
      <c r="A36" s="208"/>
      <c r="B36" s="208"/>
    </row>
    <row r="37" spans="1:2" x14ac:dyDescent="0.35">
      <c r="A37" s="208"/>
      <c r="B37" s="208"/>
    </row>
    <row r="38" spans="1:2" x14ac:dyDescent="0.35">
      <c r="A38" s="208"/>
      <c r="B38" s="208"/>
    </row>
  </sheetData>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5d823c5f-5257-4c29-b342-b391d6fe9f3d">Growth Projections</Topic>
    <Meeting_x0020_date_x0020__x0028_YYYYMMDD_x0029_ xmlns="5d823c5f-5257-4c29-b342-b391d6fe9f3d" xsi:nil="true"/>
    <Meeting_x0020_Date_x0020__x0028_i_x002e_e_x002e__x0020_March_x0020_7_x0029_ xmlns="5d823c5f-5257-4c29-b342-b391d6fe9f3d">Aug 2019</Meeting_x0020_Date_x0020__x0028_i_x002e_e_x002e__x0020_March_x0020_7_x0029_>
    <Owner xmlns="5d823c5f-5257-4c29-b342-b391d6fe9f3d" xsi:nil="true"/>
    <_dlc_DocId xmlns="76249e9b-b6b9-40a9-b72a-b7e9ea3ba785">JRY6TTMWJ3SA-295459163-58</_dlc_DocId>
    <_dlc_DocIdUrl xmlns="76249e9b-b6b9-40a9-b72a-b7e9ea3ba785">
      <Url>http://partnerweb/sites/WR/wrecplanwork/_layouts/15/DocIdRedir.aspx?ID=JRY6TTMWJ3SA-295459163-58</Url>
      <Description>JRY6TTMWJ3SA-295459163-58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3D0D1AC7348F449AD859F2BD45DE0F9" ma:contentTypeVersion="7" ma:contentTypeDescription="Create a new document." ma:contentTypeScope="" ma:versionID="9d0e8751174ddf44bc7372ceafdd3a0c">
  <xsd:schema xmlns:xsd="http://www.w3.org/2001/XMLSchema" xmlns:xs="http://www.w3.org/2001/XMLSchema" xmlns:p="http://schemas.microsoft.com/office/2006/metadata/properties" xmlns:ns2="76249e9b-b6b9-40a9-b72a-b7e9ea3ba785" xmlns:ns3="5d823c5f-5257-4c29-b342-b391d6fe9f3d" xmlns:ns4="3b4dceba-683b-45c7-9b77-22ab90981aa0" targetNamespace="http://schemas.microsoft.com/office/2006/metadata/properties" ma:root="true" ma:fieldsID="01a15bbddd12c7ea416f1362809f8536" ns2:_="" ns3:_="" ns4:_="">
    <xsd:import namespace="76249e9b-b6b9-40a9-b72a-b7e9ea3ba785"/>
    <xsd:import namespace="5d823c5f-5257-4c29-b342-b391d6fe9f3d"/>
    <xsd:import namespace="3b4dceba-683b-45c7-9b77-22ab90981aa0"/>
    <xsd:element name="properties">
      <xsd:complexType>
        <xsd:sequence>
          <xsd:element name="documentManagement">
            <xsd:complexType>
              <xsd:all>
                <xsd:element ref="ns2:_dlc_DocId" minOccurs="0"/>
                <xsd:element ref="ns2:_dlc_DocIdUrl" minOccurs="0"/>
                <xsd:element ref="ns2:_dlc_DocIdPersistId" minOccurs="0"/>
                <xsd:element ref="ns3:Topic" minOccurs="0"/>
                <xsd:element ref="ns3:Meeting_x0020_date_x0020__x0028_YYYYMMDD_x0029_" minOccurs="0"/>
                <xsd:element ref="ns3:Owner" minOccurs="0"/>
                <xsd:element ref="ns3:Meeting_x0020_Date_x0020__x0028_i_x002e_e_x002e__x0020_March_x0020_7_x0029_"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249e9b-b6b9-40a9-b72a-b7e9ea3ba78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d823c5f-5257-4c29-b342-b391d6fe9f3d" elementFormDefault="qualified">
    <xsd:import namespace="http://schemas.microsoft.com/office/2006/documentManagement/types"/>
    <xsd:import namespace="http://schemas.microsoft.com/office/infopath/2007/PartnerControls"/>
    <xsd:element name="Topic" ma:index="11" nillable="true" ma:displayName="Topic" ma:internalName="Topic">
      <xsd:simpleType>
        <xsd:restriction base="dms:Text">
          <xsd:maxLength value="255"/>
        </xsd:restriction>
      </xsd:simpleType>
    </xsd:element>
    <xsd:element name="Meeting_x0020_date_x0020__x0028_YYYYMMDD_x0029_" ma:index="12" nillable="true" ma:displayName="Meeting date (YYYYMMDD)" ma:internalName="Meeting_x0020_date_x0020__x0028_YYYYMMDD_x0029_">
      <xsd:simpleType>
        <xsd:restriction base="dms:Text">
          <xsd:maxLength value="255"/>
        </xsd:restriction>
      </xsd:simpleType>
    </xsd:element>
    <xsd:element name="Owner" ma:index="13" nillable="true" ma:displayName="Owner" ma:internalName="Owner">
      <xsd:simpleType>
        <xsd:restriction base="dms:Text">
          <xsd:maxLength value="255"/>
        </xsd:restriction>
      </xsd:simpleType>
    </xsd:element>
    <xsd:element name="Meeting_x0020_Date_x0020__x0028_i_x002e_e_x002e__x0020_March_x0020_7_x0029_" ma:index="14" nillable="true" ma:displayName="Meeting Date (i.e. March 7)" ma:internalName="Meeting_x0020_Date_x0020__x0028_i_x002e_e_x002e__x0020_March_x0020_7_x002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4dceba-683b-45c7-9b77-22ab90981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63D344-9C64-4F17-95A6-C998B7A2BB13}">
  <ds:schemaRefs>
    <ds:schemaRef ds:uri="3b4dceba-683b-45c7-9b77-22ab90981aa0"/>
    <ds:schemaRef ds:uri="http://schemas.microsoft.com/office/2006/documentManagement/types"/>
    <ds:schemaRef ds:uri="http://schemas.microsoft.com/office/infopath/2007/PartnerControls"/>
    <ds:schemaRef ds:uri="http://purl.org/dc/elements/1.1/"/>
    <ds:schemaRef ds:uri="5d823c5f-5257-4c29-b342-b391d6fe9f3d"/>
    <ds:schemaRef ds:uri="http://schemas.microsoft.com/office/2006/metadata/properties"/>
    <ds:schemaRef ds:uri="http://schemas.openxmlformats.org/package/2006/metadata/core-properties"/>
    <ds:schemaRef ds:uri="http://purl.org/dc/terms/"/>
    <ds:schemaRef ds:uri="76249e9b-b6b9-40a9-b72a-b7e9ea3ba785"/>
    <ds:schemaRef ds:uri="http://www.w3.org/XML/1998/namespace"/>
    <ds:schemaRef ds:uri="http://purl.org/dc/dcmitype/"/>
  </ds:schemaRefs>
</ds:datastoreItem>
</file>

<file path=customXml/itemProps2.xml><?xml version="1.0" encoding="utf-8"?>
<ds:datastoreItem xmlns:ds="http://schemas.openxmlformats.org/officeDocument/2006/customXml" ds:itemID="{A1A87EC7-3F52-47B4-B6E7-9D3ED5D43103}">
  <ds:schemaRefs>
    <ds:schemaRef ds:uri="http://schemas.microsoft.com/sharepoint/events"/>
  </ds:schemaRefs>
</ds:datastoreItem>
</file>

<file path=customXml/itemProps3.xml><?xml version="1.0" encoding="utf-8"?>
<ds:datastoreItem xmlns:ds="http://schemas.openxmlformats.org/officeDocument/2006/customXml" ds:itemID="{F5A9D4AF-ABFF-45AF-8A06-AC97CD008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249e9b-b6b9-40a9-b72a-b7e9ea3ba785"/>
    <ds:schemaRef ds:uri="5d823c5f-5257-4c29-b342-b391d6fe9f3d"/>
    <ds:schemaRef ds:uri="3b4dceba-683b-45c7-9b77-22ab90981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70BAAD-886A-47D2-9AD9-E6BF2CCCE0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 Summary</vt:lpstr>
      <vt:lpstr>2. King Co Data</vt:lpstr>
      <vt:lpstr>3. Snohomish Co Data</vt:lpstr>
      <vt:lpstr>4. UGA Spot Check</vt:lpstr>
      <vt:lpstr>5. Assumptions</vt:lpstr>
      <vt:lpstr>6. KingCo - Over or Under Count</vt:lpstr>
      <vt:lpstr>7. SnoCo - Over or Under Count</vt:lpstr>
      <vt:lpstr>'1. Summary'!Print_Area</vt:lpstr>
      <vt:lpstr>'2. King Co Data'!Print_Area</vt:lpstr>
      <vt:lpstr>'3. Snohomish Co Data'!Print_Area</vt:lpstr>
      <vt:lpstr>'4. UGA Spot Check'!Print_Area</vt:lpstr>
      <vt:lpstr>'5. Assumptions'!Print_Area</vt:lpstr>
      <vt:lpstr>'7. SnoCo - Over or Under Count'!Print_Area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Bridget August</dc:creator>
  <cp:lastModifiedBy>Potts, Stephanie (ECY)</cp:lastModifiedBy>
  <cp:lastPrinted>2019-08-13T22:00:03Z</cp:lastPrinted>
  <dcterms:created xsi:type="dcterms:W3CDTF">2019-08-07T16:54:49Z</dcterms:created>
  <dcterms:modified xsi:type="dcterms:W3CDTF">2019-10-02T22:42:32Z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0x01010003D0D1AC7348F449AD859F2BD45DE0F9</vt:lpwstr>
  </property>
  <property fmtid="{D5CDD505-2E9C-101B-9397-08002B2CF9AE}" pid="3" name="_dlc_DocIdItemGuid">
    <vt:lpwstr>96fecfd9-749c-469c-9e37-cc820eec5fa6</vt:lpwstr>
  </property>
</Properties>
</file>