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p461\Downloads\"/>
    </mc:Choice>
  </mc:AlternateContent>
  <bookViews>
    <workbookView xWindow="0" yWindow="0" windowWidth="19200" windowHeight="8470" tabRatio="705"/>
  </bookViews>
  <sheets>
    <sheet name="Information" sheetId="4" r:id="rId1"/>
    <sheet name="SUMMARY Annual" sheetId="8" r:id="rId2"/>
    <sheet name="SUMMARY Summer" sheetId="20" r:id="rId3"/>
    <sheet name="CALC Variable Supply-Year" sheetId="1" r:id="rId4"/>
    <sheet name="CALC Variable Supply-Summer" sheetId="12" r:id="rId5"/>
    <sheet name="CALC Fixed Supply-Year" sheetId="9" r:id="rId6"/>
    <sheet name="CALC Fixed Supply-Summer" sheetId="13" r:id="rId7"/>
    <sheet name="SCEN Subbasin Avg Year" sheetId="10" r:id="rId8"/>
    <sheet name="SCEN 0.5ac Year" sheetId="11" r:id="rId9"/>
    <sheet name="SCEN 950 gpd Year" sheetId="6" r:id="rId10"/>
    <sheet name="SCEN SnoPUD Year" sheetId="18" r:id="rId11"/>
    <sheet name="SCEN Subbasin Avg Summer" sheetId="15" r:id="rId12"/>
    <sheet name="SCEN 0.5ac Summer" sheetId="16" r:id="rId13"/>
    <sheet name="SCEN 950 gpd Summer" sheetId="17" r:id="rId14"/>
    <sheet name="SCEN SnoPUD Summer" sheetId="19" r:id="rId15"/>
  </sheets>
  <definedNames>
    <definedName name="_xlnm.Print_Area" localSheetId="6">'CALC Fixed Supply-Summer'!$B$5:$L$56</definedName>
    <definedName name="_xlnm.Print_Area" localSheetId="5">'CALC Fixed Supply-Year'!$B$5:$L$56</definedName>
    <definedName name="_xlnm.Print_Area" localSheetId="4">'CALC Variable Supply-Summer'!$B$5:$L$55</definedName>
    <definedName name="_xlnm.Print_Area" localSheetId="3">'CALC Variable Supply-Year'!$B$5:$L$55</definedName>
    <definedName name="_xlnm.Print_Area" localSheetId="12">'SCEN 0.5ac Summer'!$B$5:$L$49</definedName>
    <definedName name="_xlnm.Print_Area" localSheetId="8">'SCEN 0.5ac Year'!$B$5:$L$49</definedName>
    <definedName name="_xlnm.Print_Area" localSheetId="13">'SCEN 950 gpd Summer'!$B$5:$L$50</definedName>
    <definedName name="_xlnm.Print_Area" localSheetId="9">'SCEN 950 gpd Year'!$B$5:$P$50</definedName>
    <definedName name="_xlnm.Print_Area" localSheetId="14">'SCEN SnoPUD Summer'!$B$5:$L$56</definedName>
    <definedName name="_xlnm.Print_Area" localSheetId="10">'SCEN SnoPUD Year'!$B$5:$L$56</definedName>
    <definedName name="_xlnm.Print_Area" localSheetId="11">'SCEN Subbasin Avg Summer'!$B$5:$L$49</definedName>
    <definedName name="_xlnm.Print_Area" localSheetId="7">'SCEN Subbasin Avg Year'!$B$5:$L$49</definedName>
    <definedName name="_xlnm.Print_Area" localSheetId="1">'SUMMARY Annual'!$A$4:$W$60</definedName>
    <definedName name="_xlnm.Print_Area" localSheetId="2">'SUMMARY Summer'!$A$4:$V$60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7" l="1"/>
  <c r="I52" i="17"/>
  <c r="I51" i="17"/>
  <c r="I50" i="17"/>
  <c r="I49" i="17"/>
  <c r="I48" i="17"/>
  <c r="I47" i="17"/>
  <c r="I46" i="17"/>
  <c r="I45" i="17"/>
  <c r="I44" i="17"/>
  <c r="I53" i="6"/>
  <c r="I52" i="6"/>
  <c r="I51" i="6"/>
  <c r="I50" i="6"/>
  <c r="I49" i="6"/>
  <c r="I48" i="6"/>
  <c r="I47" i="6"/>
  <c r="I46" i="6"/>
  <c r="I45" i="6"/>
  <c r="I44" i="6"/>
  <c r="G15" i="4" l="1"/>
  <c r="G16" i="4"/>
  <c r="G17" i="4"/>
  <c r="G18" i="4"/>
  <c r="G19" i="4"/>
  <c r="G20" i="4"/>
  <c r="G21" i="4"/>
  <c r="G22" i="4"/>
  <c r="G23" i="4"/>
  <c r="G24" i="4"/>
  <c r="G14" i="4"/>
  <c r="L32" i="20" l="1"/>
  <c r="L31" i="20"/>
  <c r="C84" i="20"/>
  <c r="G81" i="20"/>
  <c r="F81" i="20"/>
  <c r="E81" i="20"/>
  <c r="D81" i="20"/>
  <c r="C81" i="20"/>
  <c r="G80" i="20"/>
  <c r="F80" i="20"/>
  <c r="E80" i="20"/>
  <c r="D80" i="20"/>
  <c r="C80" i="20"/>
  <c r="G79" i="20"/>
  <c r="T11" i="20" s="1"/>
  <c r="T26" i="20" s="1"/>
  <c r="F79" i="20"/>
  <c r="E79" i="20"/>
  <c r="D79" i="20"/>
  <c r="C79" i="20"/>
  <c r="G78" i="20"/>
  <c r="F78" i="20"/>
  <c r="E78" i="20"/>
  <c r="D78" i="20"/>
  <c r="D82" i="20" s="1"/>
  <c r="C78" i="20"/>
  <c r="G77" i="20"/>
  <c r="F77" i="20"/>
  <c r="E77" i="20"/>
  <c r="D77" i="20"/>
  <c r="C77" i="20"/>
  <c r="G76" i="20"/>
  <c r="F76" i="20"/>
  <c r="E76" i="20"/>
  <c r="D76" i="20"/>
  <c r="C76" i="20"/>
  <c r="G75" i="20"/>
  <c r="F75" i="20"/>
  <c r="E75" i="20"/>
  <c r="D75" i="20"/>
  <c r="C75" i="20"/>
  <c r="C82" i="20" s="1"/>
  <c r="G74" i="20"/>
  <c r="F74" i="20"/>
  <c r="E74" i="20"/>
  <c r="D74" i="20"/>
  <c r="C74" i="20"/>
  <c r="G73" i="20"/>
  <c r="F73" i="20"/>
  <c r="E73" i="20"/>
  <c r="E82" i="20" s="1"/>
  <c r="D73" i="20"/>
  <c r="C73" i="20"/>
  <c r="G72" i="20"/>
  <c r="F72" i="20"/>
  <c r="E72" i="20"/>
  <c r="D72" i="20"/>
  <c r="C72" i="20"/>
  <c r="G68" i="20"/>
  <c r="X10" i="20" s="1"/>
  <c r="X15" i="20" s="1"/>
  <c r="F68" i="20"/>
  <c r="E68" i="20"/>
  <c r="D68" i="20"/>
  <c r="C68" i="20"/>
  <c r="C65" i="20"/>
  <c r="E64" i="20"/>
  <c r="C64" i="20"/>
  <c r="C63" i="20"/>
  <c r="C62" i="20"/>
  <c r="C66" i="20" s="1"/>
  <c r="E61" i="20"/>
  <c r="C61" i="20"/>
  <c r="C60" i="20"/>
  <c r="C59" i="20"/>
  <c r="C58" i="20"/>
  <c r="C57" i="20"/>
  <c r="E56" i="20"/>
  <c r="D56" i="20"/>
  <c r="C56" i="20"/>
  <c r="G52" i="20"/>
  <c r="F52" i="20"/>
  <c r="E52" i="20"/>
  <c r="D52" i="20"/>
  <c r="C52" i="20"/>
  <c r="F49" i="20"/>
  <c r="E49" i="20"/>
  <c r="C49" i="20"/>
  <c r="F48" i="20"/>
  <c r="E48" i="20"/>
  <c r="C48" i="20"/>
  <c r="F47" i="20"/>
  <c r="E47" i="20"/>
  <c r="E50" i="20" s="1"/>
  <c r="C47" i="20"/>
  <c r="F46" i="20"/>
  <c r="E46" i="20"/>
  <c r="D46" i="20"/>
  <c r="C46" i="20"/>
  <c r="F45" i="20"/>
  <c r="E45" i="20"/>
  <c r="C45" i="20"/>
  <c r="F44" i="20"/>
  <c r="E44" i="20"/>
  <c r="C44" i="20"/>
  <c r="F43" i="20"/>
  <c r="E43" i="20"/>
  <c r="C43" i="20"/>
  <c r="F42" i="20"/>
  <c r="F50" i="20" s="1"/>
  <c r="E42" i="20"/>
  <c r="C42" i="20"/>
  <c r="F41" i="20"/>
  <c r="E41" i="20"/>
  <c r="C41" i="20"/>
  <c r="F40" i="20"/>
  <c r="E40" i="20"/>
  <c r="C40" i="20"/>
  <c r="G36" i="20"/>
  <c r="F36" i="20"/>
  <c r="E36" i="20"/>
  <c r="D36" i="20"/>
  <c r="C36" i="20"/>
  <c r="F33" i="20"/>
  <c r="E33" i="20"/>
  <c r="C33" i="20"/>
  <c r="F32" i="20"/>
  <c r="E32" i="20"/>
  <c r="C32" i="20"/>
  <c r="F31" i="20"/>
  <c r="E31" i="20"/>
  <c r="C31" i="20"/>
  <c r="E30" i="20"/>
  <c r="C30" i="20"/>
  <c r="F29" i="20"/>
  <c r="E29" i="20"/>
  <c r="D29" i="20"/>
  <c r="C29" i="20"/>
  <c r="F28" i="20"/>
  <c r="E28" i="20"/>
  <c r="C28" i="20"/>
  <c r="C34" i="20" s="1"/>
  <c r="F27" i="20"/>
  <c r="E27" i="20"/>
  <c r="C27" i="20"/>
  <c r="F26" i="20"/>
  <c r="E26" i="20"/>
  <c r="C26" i="20"/>
  <c r="F25" i="20"/>
  <c r="E25" i="20"/>
  <c r="C25" i="20"/>
  <c r="F24" i="20"/>
  <c r="E24" i="20"/>
  <c r="C24" i="20"/>
  <c r="G19" i="20"/>
  <c r="F19" i="20"/>
  <c r="E19" i="20"/>
  <c r="D19" i="20"/>
  <c r="C19" i="20"/>
  <c r="E16" i="20"/>
  <c r="C16" i="20"/>
  <c r="E15" i="20"/>
  <c r="C15" i="20"/>
  <c r="E14" i="20"/>
  <c r="C14" i="20"/>
  <c r="C17" i="20" s="1"/>
  <c r="E13" i="20"/>
  <c r="C13" i="20"/>
  <c r="E12" i="20"/>
  <c r="C12" i="20"/>
  <c r="E11" i="20"/>
  <c r="C11" i="20"/>
  <c r="E10" i="20"/>
  <c r="C10" i="20"/>
  <c r="E9" i="20"/>
  <c r="C9" i="20"/>
  <c r="E8" i="20"/>
  <c r="C8" i="20"/>
  <c r="E7" i="20"/>
  <c r="C7" i="20"/>
  <c r="X12" i="20"/>
  <c r="X27" i="20" s="1"/>
  <c r="L12" i="20"/>
  <c r="L27" i="20" s="1"/>
  <c r="V11" i="20"/>
  <c r="V26" i="20" s="1"/>
  <c r="U11" i="20"/>
  <c r="U26" i="20" s="1"/>
  <c r="S11" i="20"/>
  <c r="S26" i="20" s="1"/>
  <c r="R11" i="20"/>
  <c r="R26" i="20" s="1"/>
  <c r="Q11" i="20"/>
  <c r="Q26" i="20" s="1"/>
  <c r="P11" i="20"/>
  <c r="P26" i="20" s="1"/>
  <c r="O11" i="20"/>
  <c r="O26" i="20" s="1"/>
  <c r="N11" i="20"/>
  <c r="N26" i="20" s="1"/>
  <c r="M11" i="20"/>
  <c r="M26" i="20" s="1"/>
  <c r="L11" i="20"/>
  <c r="L26" i="20" s="1"/>
  <c r="L10" i="20"/>
  <c r="L15" i="20" s="1"/>
  <c r="L20" i="20" s="1"/>
  <c r="X9" i="20"/>
  <c r="X14" i="20" s="1"/>
  <c r="L9" i="20"/>
  <c r="L14" i="20" s="1"/>
  <c r="L19" i="20" s="1"/>
  <c r="X8" i="20"/>
  <c r="X13" i="20" s="1"/>
  <c r="L8" i="20"/>
  <c r="L23" i="20" s="1"/>
  <c r="G82" i="20"/>
  <c r="F82" i="20"/>
  <c r="C50" i="20"/>
  <c r="G68" i="8"/>
  <c r="F68" i="8"/>
  <c r="E68" i="8"/>
  <c r="D68" i="8"/>
  <c r="C68" i="8"/>
  <c r="C65" i="8"/>
  <c r="E64" i="8"/>
  <c r="C64" i="8"/>
  <c r="E63" i="8"/>
  <c r="C63" i="8"/>
  <c r="C62" i="8"/>
  <c r="C61" i="8"/>
  <c r="C60" i="8"/>
  <c r="E59" i="8"/>
  <c r="C59" i="8"/>
  <c r="C58" i="8"/>
  <c r="C57" i="8"/>
  <c r="C56" i="8"/>
  <c r="E77" i="17"/>
  <c r="E76" i="17"/>
  <c r="G72" i="17"/>
  <c r="G70" i="17"/>
  <c r="E65" i="20" s="1"/>
  <c r="G69" i="17"/>
  <c r="G68" i="17"/>
  <c r="E63" i="20" s="1"/>
  <c r="G67" i="17"/>
  <c r="E62" i="20" s="1"/>
  <c r="G66" i="17"/>
  <c r="G65" i="17"/>
  <c r="E60" i="20" s="1"/>
  <c r="G64" i="17"/>
  <c r="E59" i="20" s="1"/>
  <c r="G63" i="17"/>
  <c r="E58" i="20" s="1"/>
  <c r="G62" i="17"/>
  <c r="E57" i="20" s="1"/>
  <c r="G61" i="17"/>
  <c r="K55" i="17"/>
  <c r="H72" i="17" s="1"/>
  <c r="K52" i="17"/>
  <c r="L52" i="17" s="1"/>
  <c r="K50" i="17"/>
  <c r="H67" i="17" s="1"/>
  <c r="F62" i="20" s="1"/>
  <c r="K48" i="17"/>
  <c r="L48" i="17" s="1"/>
  <c r="K46" i="17"/>
  <c r="H63" i="17" s="1"/>
  <c r="F58" i="20" s="1"/>
  <c r="K44" i="17"/>
  <c r="L44" i="17" s="1"/>
  <c r="H39" i="17"/>
  <c r="G39" i="17"/>
  <c r="G37" i="17"/>
  <c r="H37" i="17" s="1"/>
  <c r="K53" i="17" s="1"/>
  <c r="H36" i="17"/>
  <c r="G36" i="17"/>
  <c r="G35" i="17"/>
  <c r="H35" i="17" s="1"/>
  <c r="K51" i="17" s="1"/>
  <c r="H34" i="17"/>
  <c r="G34" i="17"/>
  <c r="G33" i="17"/>
  <c r="H33" i="17" s="1"/>
  <c r="K49" i="17" s="1"/>
  <c r="H32" i="17"/>
  <c r="G32" i="17"/>
  <c r="G31" i="17"/>
  <c r="H31" i="17" s="1"/>
  <c r="K47" i="17" s="1"/>
  <c r="H30" i="17"/>
  <c r="G30" i="17"/>
  <c r="G29" i="17"/>
  <c r="H29" i="17" s="1"/>
  <c r="K45" i="17" s="1"/>
  <c r="H28" i="17"/>
  <c r="G28" i="17"/>
  <c r="G23" i="17"/>
  <c r="E55" i="17" s="1"/>
  <c r="F55" i="17" s="1"/>
  <c r="G55" i="17" s="1"/>
  <c r="H55" i="17" s="1"/>
  <c r="G21" i="17"/>
  <c r="E53" i="17" s="1"/>
  <c r="F53" i="17" s="1"/>
  <c r="G53" i="17" s="1"/>
  <c r="G20" i="17"/>
  <c r="I20" i="17" s="1"/>
  <c r="F69" i="17" s="1"/>
  <c r="D64" i="20" s="1"/>
  <c r="I19" i="17"/>
  <c r="F68" i="17" s="1"/>
  <c r="D63" i="20" s="1"/>
  <c r="G19" i="17"/>
  <c r="E51" i="17" s="1"/>
  <c r="F51" i="17" s="1"/>
  <c r="G51" i="17" s="1"/>
  <c r="G18" i="17"/>
  <c r="E50" i="17" s="1"/>
  <c r="F50" i="17" s="1"/>
  <c r="G50" i="17" s="1"/>
  <c r="H50" i="17" s="1"/>
  <c r="G17" i="17"/>
  <c r="E49" i="17" s="1"/>
  <c r="F49" i="17" s="1"/>
  <c r="G49" i="17" s="1"/>
  <c r="H49" i="17" s="1"/>
  <c r="G16" i="17"/>
  <c r="I16" i="17" s="1"/>
  <c r="F65" i="17" s="1"/>
  <c r="D60" i="20" s="1"/>
  <c r="I15" i="17"/>
  <c r="F64" i="17" s="1"/>
  <c r="D59" i="20" s="1"/>
  <c r="G15" i="17"/>
  <c r="E47" i="17" s="1"/>
  <c r="F47" i="17" s="1"/>
  <c r="G47" i="17" s="1"/>
  <c r="H47" i="17" s="1"/>
  <c r="G14" i="17"/>
  <c r="E46" i="17" s="1"/>
  <c r="F46" i="17" s="1"/>
  <c r="G46" i="17" s="1"/>
  <c r="H46" i="17" s="1"/>
  <c r="G13" i="17"/>
  <c r="E45" i="17" s="1"/>
  <c r="F45" i="17" s="1"/>
  <c r="G45" i="17" s="1"/>
  <c r="H45" i="17" s="1"/>
  <c r="G12" i="17"/>
  <c r="I12" i="17" s="1"/>
  <c r="F61" i="17" s="1"/>
  <c r="E77" i="6"/>
  <c r="E76" i="6"/>
  <c r="G72" i="6"/>
  <c r="G70" i="6"/>
  <c r="E65" i="8" s="1"/>
  <c r="G69" i="6"/>
  <c r="G68" i="6"/>
  <c r="G67" i="6"/>
  <c r="E62" i="8" s="1"/>
  <c r="G66" i="6"/>
  <c r="E61" i="8" s="1"/>
  <c r="G65" i="6"/>
  <c r="E60" i="8" s="1"/>
  <c r="G64" i="6"/>
  <c r="G63" i="6"/>
  <c r="E58" i="8" s="1"/>
  <c r="G62" i="6"/>
  <c r="E57" i="8" s="1"/>
  <c r="G61" i="6"/>
  <c r="E56" i="8" s="1"/>
  <c r="F55" i="6"/>
  <c r="G55" i="6" s="1"/>
  <c r="E55" i="6"/>
  <c r="G39" i="6"/>
  <c r="H39" i="6" s="1"/>
  <c r="K55" i="6" s="1"/>
  <c r="H37" i="6"/>
  <c r="K53" i="6" s="1"/>
  <c r="G37" i="6"/>
  <c r="G36" i="6"/>
  <c r="H36" i="6" s="1"/>
  <c r="K52" i="6" s="1"/>
  <c r="G35" i="6"/>
  <c r="H35" i="6" s="1"/>
  <c r="K51" i="6" s="1"/>
  <c r="G34" i="6"/>
  <c r="H34" i="6" s="1"/>
  <c r="K50" i="6" s="1"/>
  <c r="H33" i="6"/>
  <c r="K49" i="6" s="1"/>
  <c r="G33" i="6"/>
  <c r="G32" i="6"/>
  <c r="H32" i="6" s="1"/>
  <c r="K48" i="6" s="1"/>
  <c r="G31" i="6"/>
  <c r="H31" i="6" s="1"/>
  <c r="K47" i="6" s="1"/>
  <c r="G30" i="6"/>
  <c r="H30" i="6" s="1"/>
  <c r="K46" i="6" s="1"/>
  <c r="H29" i="6"/>
  <c r="K45" i="6" s="1"/>
  <c r="G29" i="6"/>
  <c r="G28" i="6"/>
  <c r="H28" i="6" s="1"/>
  <c r="K44" i="6" s="1"/>
  <c r="G23" i="6"/>
  <c r="I23" i="6" s="1"/>
  <c r="F72" i="6" s="1"/>
  <c r="G21" i="6"/>
  <c r="I21" i="6" s="1"/>
  <c r="F70" i="6" s="1"/>
  <c r="D65" i="8" s="1"/>
  <c r="G20" i="6"/>
  <c r="E52" i="6" s="1"/>
  <c r="F52" i="6" s="1"/>
  <c r="G52" i="6" s="1"/>
  <c r="H52" i="6" s="1"/>
  <c r="G19" i="6"/>
  <c r="I19" i="6" s="1"/>
  <c r="F68" i="6" s="1"/>
  <c r="D63" i="8" s="1"/>
  <c r="G18" i="6"/>
  <c r="I18" i="6" s="1"/>
  <c r="F67" i="6" s="1"/>
  <c r="D62" i="8" s="1"/>
  <c r="G17" i="6"/>
  <c r="E49" i="6" s="1"/>
  <c r="F49" i="6" s="1"/>
  <c r="G49" i="6" s="1"/>
  <c r="H49" i="6" s="1"/>
  <c r="G16" i="6"/>
  <c r="E48" i="6" s="1"/>
  <c r="F48" i="6" s="1"/>
  <c r="G48" i="6" s="1"/>
  <c r="H48" i="6" s="1"/>
  <c r="G15" i="6"/>
  <c r="I15" i="6" s="1"/>
  <c r="F64" i="6" s="1"/>
  <c r="D59" i="8" s="1"/>
  <c r="G14" i="6"/>
  <c r="I14" i="6" s="1"/>
  <c r="F63" i="6" s="1"/>
  <c r="D58" i="8" s="1"/>
  <c r="G13" i="6"/>
  <c r="I13" i="6" s="1"/>
  <c r="F62" i="6" s="1"/>
  <c r="D57" i="8" s="1"/>
  <c r="I12" i="6"/>
  <c r="F61" i="6" s="1"/>
  <c r="D56" i="8" s="1"/>
  <c r="G12" i="6"/>
  <c r="E44" i="6" s="1"/>
  <c r="F44" i="6" s="1"/>
  <c r="G44" i="6" s="1"/>
  <c r="E60" i="16"/>
  <c r="E59" i="16"/>
  <c r="G38" i="16"/>
  <c r="I38" i="16" s="1"/>
  <c r="J38" i="16" s="1"/>
  <c r="H55" i="16" s="1"/>
  <c r="G36" i="16"/>
  <c r="I36" i="16" s="1"/>
  <c r="J36" i="16" s="1"/>
  <c r="H53" i="16" s="1"/>
  <c r="I35" i="16"/>
  <c r="J35" i="16" s="1"/>
  <c r="H52" i="16" s="1"/>
  <c r="G35" i="16"/>
  <c r="I34" i="16"/>
  <c r="J34" i="16" s="1"/>
  <c r="H51" i="16" s="1"/>
  <c r="G34" i="16"/>
  <c r="G33" i="16"/>
  <c r="I33" i="16" s="1"/>
  <c r="J33" i="16" s="1"/>
  <c r="H50" i="16" s="1"/>
  <c r="J32" i="16"/>
  <c r="H49" i="16" s="1"/>
  <c r="I32" i="16"/>
  <c r="G32" i="16"/>
  <c r="G31" i="16"/>
  <c r="I31" i="16" s="1"/>
  <c r="J31" i="16" s="1"/>
  <c r="H48" i="16" s="1"/>
  <c r="G30" i="16"/>
  <c r="I30" i="16" s="1"/>
  <c r="J30" i="16" s="1"/>
  <c r="H47" i="16" s="1"/>
  <c r="G29" i="16"/>
  <c r="I29" i="16" s="1"/>
  <c r="J29" i="16" s="1"/>
  <c r="H46" i="16" s="1"/>
  <c r="G28" i="16"/>
  <c r="I28" i="16" s="1"/>
  <c r="J28" i="16" s="1"/>
  <c r="H45" i="16" s="1"/>
  <c r="I27" i="16"/>
  <c r="J27" i="16" s="1"/>
  <c r="H44" i="16" s="1"/>
  <c r="G27" i="16"/>
  <c r="I22" i="16"/>
  <c r="J22" i="16" s="1"/>
  <c r="F55" i="16" s="1"/>
  <c r="I55" i="16" s="1"/>
  <c r="G22" i="16"/>
  <c r="G20" i="16"/>
  <c r="I20" i="16" s="1"/>
  <c r="J20" i="16" s="1"/>
  <c r="F53" i="16" s="1"/>
  <c r="I53" i="16" s="1"/>
  <c r="G49" i="20" s="1"/>
  <c r="V9" i="20" s="1"/>
  <c r="V19" i="20" s="1"/>
  <c r="G19" i="16"/>
  <c r="I19" i="16" s="1"/>
  <c r="J19" i="16" s="1"/>
  <c r="F52" i="16" s="1"/>
  <c r="D48" i="20" s="1"/>
  <c r="G18" i="16"/>
  <c r="I18" i="16" s="1"/>
  <c r="J18" i="16" s="1"/>
  <c r="F51" i="16" s="1"/>
  <c r="I51" i="16" s="1"/>
  <c r="G47" i="20" s="1"/>
  <c r="T9" i="20" s="1"/>
  <c r="T14" i="20" s="1"/>
  <c r="G17" i="16"/>
  <c r="I17" i="16" s="1"/>
  <c r="J17" i="16" s="1"/>
  <c r="F50" i="16" s="1"/>
  <c r="I50" i="16" s="1"/>
  <c r="G46" i="20" s="1"/>
  <c r="S9" i="20" s="1"/>
  <c r="S14" i="20" s="1"/>
  <c r="G16" i="16"/>
  <c r="I16" i="16" s="1"/>
  <c r="J16" i="16" s="1"/>
  <c r="F49" i="16" s="1"/>
  <c r="D45" i="20" s="1"/>
  <c r="G15" i="16"/>
  <c r="I15" i="16" s="1"/>
  <c r="J15" i="16" s="1"/>
  <c r="F48" i="16" s="1"/>
  <c r="D44" i="20" s="1"/>
  <c r="I14" i="16"/>
  <c r="J14" i="16" s="1"/>
  <c r="F47" i="16" s="1"/>
  <c r="I47" i="16" s="1"/>
  <c r="G43" i="20" s="1"/>
  <c r="P9" i="20" s="1"/>
  <c r="P14" i="20" s="1"/>
  <c r="P24" i="20" s="1"/>
  <c r="G14" i="16"/>
  <c r="G13" i="16"/>
  <c r="I13" i="16" s="1"/>
  <c r="J13" i="16" s="1"/>
  <c r="F46" i="16" s="1"/>
  <c r="I46" i="16" s="1"/>
  <c r="G42" i="20" s="1"/>
  <c r="O9" i="20" s="1"/>
  <c r="G12" i="16"/>
  <c r="I12" i="16" s="1"/>
  <c r="J12" i="16" s="1"/>
  <c r="F45" i="16" s="1"/>
  <c r="I45" i="16" s="1"/>
  <c r="G41" i="20" s="1"/>
  <c r="N9" i="20" s="1"/>
  <c r="N19" i="20" s="1"/>
  <c r="I11" i="16"/>
  <c r="J11" i="16" s="1"/>
  <c r="F44" i="16" s="1"/>
  <c r="G11" i="16"/>
  <c r="E60" i="15"/>
  <c r="E59" i="15"/>
  <c r="G38" i="15"/>
  <c r="I38" i="15" s="1"/>
  <c r="J38" i="15" s="1"/>
  <c r="H55" i="15" s="1"/>
  <c r="G36" i="15"/>
  <c r="I36" i="15" s="1"/>
  <c r="J36" i="15" s="1"/>
  <c r="H53" i="15" s="1"/>
  <c r="I35" i="15"/>
  <c r="J35" i="15" s="1"/>
  <c r="H52" i="15" s="1"/>
  <c r="G35" i="15"/>
  <c r="I34" i="15"/>
  <c r="J34" i="15" s="1"/>
  <c r="H51" i="15" s="1"/>
  <c r="G34" i="15"/>
  <c r="G33" i="15"/>
  <c r="I33" i="15" s="1"/>
  <c r="J33" i="15" s="1"/>
  <c r="H50" i="15" s="1"/>
  <c r="F30" i="20" s="1"/>
  <c r="J32" i="15"/>
  <c r="H49" i="15" s="1"/>
  <c r="I32" i="15"/>
  <c r="G32" i="15"/>
  <c r="G31" i="15"/>
  <c r="I31" i="15" s="1"/>
  <c r="J31" i="15" s="1"/>
  <c r="H48" i="15" s="1"/>
  <c r="G30" i="15"/>
  <c r="I30" i="15" s="1"/>
  <c r="J30" i="15" s="1"/>
  <c r="H47" i="15" s="1"/>
  <c r="G29" i="15"/>
  <c r="I29" i="15" s="1"/>
  <c r="J29" i="15" s="1"/>
  <c r="H46" i="15" s="1"/>
  <c r="G28" i="15"/>
  <c r="I28" i="15" s="1"/>
  <c r="J28" i="15" s="1"/>
  <c r="H45" i="15" s="1"/>
  <c r="I27" i="15"/>
  <c r="J27" i="15" s="1"/>
  <c r="H44" i="15" s="1"/>
  <c r="G27" i="15"/>
  <c r="I22" i="15"/>
  <c r="J22" i="15" s="1"/>
  <c r="F55" i="15" s="1"/>
  <c r="G22" i="15"/>
  <c r="G20" i="15"/>
  <c r="I20" i="15" s="1"/>
  <c r="J20" i="15" s="1"/>
  <c r="F53" i="15" s="1"/>
  <c r="D33" i="20" s="1"/>
  <c r="G19" i="15"/>
  <c r="I19" i="15" s="1"/>
  <c r="J19" i="15" s="1"/>
  <c r="F52" i="15" s="1"/>
  <c r="G18" i="15"/>
  <c r="I18" i="15" s="1"/>
  <c r="J18" i="15" s="1"/>
  <c r="F51" i="15" s="1"/>
  <c r="I51" i="15" s="1"/>
  <c r="G31" i="20" s="1"/>
  <c r="T8" i="20" s="1"/>
  <c r="G17" i="15"/>
  <c r="I17" i="15" s="1"/>
  <c r="J17" i="15" s="1"/>
  <c r="F50" i="15" s="1"/>
  <c r="I50" i="15" s="1"/>
  <c r="G30" i="20" s="1"/>
  <c r="S8" i="20" s="1"/>
  <c r="S18" i="20" s="1"/>
  <c r="G16" i="15"/>
  <c r="I16" i="15" s="1"/>
  <c r="J16" i="15" s="1"/>
  <c r="F49" i="15" s="1"/>
  <c r="I49" i="15" s="1"/>
  <c r="G29" i="20" s="1"/>
  <c r="R8" i="20" s="1"/>
  <c r="R13" i="20" s="1"/>
  <c r="G15" i="15"/>
  <c r="I15" i="15" s="1"/>
  <c r="J15" i="15" s="1"/>
  <c r="F48" i="15" s="1"/>
  <c r="I48" i="15" s="1"/>
  <c r="G28" i="20" s="1"/>
  <c r="Q8" i="20" s="1"/>
  <c r="Q13" i="20" s="1"/>
  <c r="G14" i="15"/>
  <c r="I14" i="15" s="1"/>
  <c r="J14" i="15" s="1"/>
  <c r="F47" i="15" s="1"/>
  <c r="G13" i="15"/>
  <c r="I13" i="15" s="1"/>
  <c r="J13" i="15" s="1"/>
  <c r="F46" i="15" s="1"/>
  <c r="G12" i="15"/>
  <c r="I12" i="15" s="1"/>
  <c r="J12" i="15" s="1"/>
  <c r="F45" i="15" s="1"/>
  <c r="I45" i="15" s="1"/>
  <c r="G25" i="20" s="1"/>
  <c r="N8" i="20" s="1"/>
  <c r="N13" i="20" s="1"/>
  <c r="G11" i="15"/>
  <c r="I11" i="15" s="1"/>
  <c r="J11" i="15" s="1"/>
  <c r="F44" i="15" s="1"/>
  <c r="G52" i="8"/>
  <c r="F52" i="8"/>
  <c r="E52" i="8"/>
  <c r="D52" i="8"/>
  <c r="C52" i="8"/>
  <c r="G36" i="8"/>
  <c r="F36" i="8"/>
  <c r="E36" i="8"/>
  <c r="D36" i="8"/>
  <c r="C36" i="8"/>
  <c r="F49" i="8"/>
  <c r="E49" i="8"/>
  <c r="C49" i="8"/>
  <c r="F48" i="8"/>
  <c r="E48" i="8"/>
  <c r="C48" i="8"/>
  <c r="F47" i="8"/>
  <c r="E47" i="8"/>
  <c r="C47" i="8"/>
  <c r="F46" i="8"/>
  <c r="E46" i="8"/>
  <c r="C46" i="8"/>
  <c r="F45" i="8"/>
  <c r="E45" i="8"/>
  <c r="C45" i="8"/>
  <c r="F44" i="8"/>
  <c r="E44" i="8"/>
  <c r="C44" i="8"/>
  <c r="F43" i="8"/>
  <c r="E43" i="8"/>
  <c r="C43" i="8"/>
  <c r="F42" i="8"/>
  <c r="E42" i="8"/>
  <c r="C42" i="8"/>
  <c r="F41" i="8"/>
  <c r="E41" i="8"/>
  <c r="C41" i="8"/>
  <c r="F40" i="8"/>
  <c r="E40" i="8"/>
  <c r="C40" i="8"/>
  <c r="F25" i="8"/>
  <c r="E25" i="8"/>
  <c r="C25" i="8"/>
  <c r="F33" i="8"/>
  <c r="E33" i="8"/>
  <c r="C33" i="8"/>
  <c r="F32" i="8"/>
  <c r="E32" i="8"/>
  <c r="C32" i="8"/>
  <c r="F31" i="8"/>
  <c r="E31" i="8"/>
  <c r="C31" i="8"/>
  <c r="E30" i="8"/>
  <c r="C30" i="8"/>
  <c r="F29" i="8"/>
  <c r="E29" i="8"/>
  <c r="C29" i="8"/>
  <c r="F28" i="8"/>
  <c r="E28" i="8"/>
  <c r="C28" i="8"/>
  <c r="F27" i="8"/>
  <c r="E27" i="8"/>
  <c r="C27" i="8"/>
  <c r="F26" i="8"/>
  <c r="E26" i="8"/>
  <c r="C26" i="8"/>
  <c r="F24" i="8"/>
  <c r="E24" i="8"/>
  <c r="C24" i="8"/>
  <c r="E60" i="10"/>
  <c r="E59" i="10"/>
  <c r="G38" i="10"/>
  <c r="I38" i="10" s="1"/>
  <c r="J38" i="10" s="1"/>
  <c r="H55" i="10" s="1"/>
  <c r="G36" i="10"/>
  <c r="I36" i="10" s="1"/>
  <c r="J36" i="10" s="1"/>
  <c r="H53" i="10" s="1"/>
  <c r="G35" i="10"/>
  <c r="I35" i="10" s="1"/>
  <c r="J35" i="10" s="1"/>
  <c r="H52" i="10" s="1"/>
  <c r="I34" i="10"/>
  <c r="J34" i="10" s="1"/>
  <c r="H51" i="10" s="1"/>
  <c r="G34" i="10"/>
  <c r="G33" i="10"/>
  <c r="I33" i="10" s="1"/>
  <c r="J33" i="10" s="1"/>
  <c r="H50" i="10" s="1"/>
  <c r="F30" i="8" s="1"/>
  <c r="I32" i="10"/>
  <c r="J32" i="10" s="1"/>
  <c r="H49" i="10" s="1"/>
  <c r="G32" i="10"/>
  <c r="G31" i="10"/>
  <c r="I31" i="10" s="1"/>
  <c r="J31" i="10" s="1"/>
  <c r="H48" i="10" s="1"/>
  <c r="G30" i="10"/>
  <c r="I30" i="10" s="1"/>
  <c r="J30" i="10" s="1"/>
  <c r="H47" i="10" s="1"/>
  <c r="G29" i="10"/>
  <c r="I29" i="10" s="1"/>
  <c r="J29" i="10" s="1"/>
  <c r="H46" i="10" s="1"/>
  <c r="G28" i="10"/>
  <c r="I28" i="10" s="1"/>
  <c r="J28" i="10" s="1"/>
  <c r="H45" i="10" s="1"/>
  <c r="G27" i="10"/>
  <c r="I27" i="10" s="1"/>
  <c r="J27" i="10" s="1"/>
  <c r="H44" i="10" s="1"/>
  <c r="I22" i="10"/>
  <c r="J22" i="10" s="1"/>
  <c r="F55" i="10" s="1"/>
  <c r="G22" i="10"/>
  <c r="G20" i="10"/>
  <c r="I20" i="10" s="1"/>
  <c r="J20" i="10" s="1"/>
  <c r="F53" i="10" s="1"/>
  <c r="D33" i="8" s="1"/>
  <c r="G19" i="10"/>
  <c r="I19" i="10" s="1"/>
  <c r="J19" i="10" s="1"/>
  <c r="F52" i="10" s="1"/>
  <c r="G18" i="10"/>
  <c r="I18" i="10" s="1"/>
  <c r="J18" i="10" s="1"/>
  <c r="F51" i="10" s="1"/>
  <c r="D31" i="8" s="1"/>
  <c r="G17" i="10"/>
  <c r="I17" i="10" s="1"/>
  <c r="J17" i="10" s="1"/>
  <c r="F50" i="10" s="1"/>
  <c r="D30" i="8" s="1"/>
  <c r="G16" i="10"/>
  <c r="I16" i="10" s="1"/>
  <c r="J16" i="10" s="1"/>
  <c r="F49" i="10" s="1"/>
  <c r="D29" i="8" s="1"/>
  <c r="G15" i="10"/>
  <c r="I15" i="10" s="1"/>
  <c r="J15" i="10" s="1"/>
  <c r="F48" i="10" s="1"/>
  <c r="D28" i="8" s="1"/>
  <c r="G14" i="10"/>
  <c r="I14" i="10" s="1"/>
  <c r="J14" i="10" s="1"/>
  <c r="F47" i="10" s="1"/>
  <c r="D27" i="8" s="1"/>
  <c r="I13" i="10"/>
  <c r="J13" i="10" s="1"/>
  <c r="F46" i="10" s="1"/>
  <c r="I46" i="10" s="1"/>
  <c r="G26" i="8" s="1"/>
  <c r="G13" i="10"/>
  <c r="G12" i="10"/>
  <c r="I12" i="10" s="1"/>
  <c r="J12" i="10" s="1"/>
  <c r="F45" i="10" s="1"/>
  <c r="I45" i="10" s="1"/>
  <c r="G25" i="8" s="1"/>
  <c r="G11" i="10"/>
  <c r="I11" i="10" s="1"/>
  <c r="J11" i="10" s="1"/>
  <c r="F44" i="10" s="1"/>
  <c r="E60" i="11"/>
  <c r="E59" i="11"/>
  <c r="G38" i="11"/>
  <c r="I38" i="11" s="1"/>
  <c r="J38" i="11" s="1"/>
  <c r="H55" i="11" s="1"/>
  <c r="I36" i="11"/>
  <c r="J36" i="11" s="1"/>
  <c r="H53" i="11" s="1"/>
  <c r="G36" i="11"/>
  <c r="I35" i="11"/>
  <c r="J35" i="11" s="1"/>
  <c r="H52" i="11" s="1"/>
  <c r="G35" i="11"/>
  <c r="I34" i="11"/>
  <c r="J34" i="11" s="1"/>
  <c r="H51" i="11" s="1"/>
  <c r="G34" i="11"/>
  <c r="G33" i="11"/>
  <c r="I33" i="11" s="1"/>
  <c r="J33" i="11" s="1"/>
  <c r="H50" i="11" s="1"/>
  <c r="J32" i="11"/>
  <c r="H49" i="11" s="1"/>
  <c r="I32" i="11"/>
  <c r="G32" i="11"/>
  <c r="G31" i="11"/>
  <c r="I31" i="11" s="1"/>
  <c r="J31" i="11" s="1"/>
  <c r="H48" i="11" s="1"/>
  <c r="G30" i="11"/>
  <c r="I30" i="11" s="1"/>
  <c r="J30" i="11" s="1"/>
  <c r="H47" i="11" s="1"/>
  <c r="G29" i="11"/>
  <c r="I29" i="11" s="1"/>
  <c r="J29" i="11" s="1"/>
  <c r="H46" i="11" s="1"/>
  <c r="I28" i="11"/>
  <c r="J28" i="11" s="1"/>
  <c r="H45" i="11" s="1"/>
  <c r="G28" i="11"/>
  <c r="I27" i="11"/>
  <c r="J27" i="11" s="1"/>
  <c r="H44" i="11" s="1"/>
  <c r="G27" i="11"/>
  <c r="I22" i="11"/>
  <c r="J22" i="11" s="1"/>
  <c r="F55" i="11" s="1"/>
  <c r="I55" i="11" s="1"/>
  <c r="G22" i="11"/>
  <c r="G20" i="11"/>
  <c r="I20" i="11" s="1"/>
  <c r="J20" i="11" s="1"/>
  <c r="F53" i="11" s="1"/>
  <c r="D49" i="8" s="1"/>
  <c r="I19" i="11"/>
  <c r="J19" i="11" s="1"/>
  <c r="F52" i="11" s="1"/>
  <c r="G19" i="11"/>
  <c r="G18" i="11"/>
  <c r="I18" i="11" s="1"/>
  <c r="J18" i="11" s="1"/>
  <c r="F51" i="11" s="1"/>
  <c r="D47" i="8" s="1"/>
  <c r="G17" i="11"/>
  <c r="I17" i="11" s="1"/>
  <c r="J17" i="11" s="1"/>
  <c r="F50" i="11" s="1"/>
  <c r="D46" i="8" s="1"/>
  <c r="G16" i="11"/>
  <c r="I16" i="11" s="1"/>
  <c r="J16" i="11" s="1"/>
  <c r="F49" i="11" s="1"/>
  <c r="I49" i="11" s="1"/>
  <c r="G45" i="8" s="1"/>
  <c r="I15" i="11"/>
  <c r="J15" i="11" s="1"/>
  <c r="F48" i="11" s="1"/>
  <c r="I48" i="11" s="1"/>
  <c r="G44" i="8" s="1"/>
  <c r="G15" i="11"/>
  <c r="G14" i="11"/>
  <c r="I14" i="11" s="1"/>
  <c r="J14" i="11" s="1"/>
  <c r="F47" i="11" s="1"/>
  <c r="G13" i="11"/>
  <c r="I13" i="11" s="1"/>
  <c r="J13" i="11" s="1"/>
  <c r="F46" i="11" s="1"/>
  <c r="G12" i="11"/>
  <c r="I12" i="11" s="1"/>
  <c r="J12" i="11" s="1"/>
  <c r="F45" i="11" s="1"/>
  <c r="D41" i="8" s="1"/>
  <c r="I11" i="11"/>
  <c r="J11" i="11" s="1"/>
  <c r="F44" i="11" s="1"/>
  <c r="G11" i="11"/>
  <c r="G19" i="1"/>
  <c r="I19" i="1" s="1"/>
  <c r="J19" i="1" s="1"/>
  <c r="F52" i="1" s="1"/>
  <c r="D15" i="8" s="1"/>
  <c r="G35" i="1"/>
  <c r="I35" i="1" s="1"/>
  <c r="J35" i="1" s="1"/>
  <c r="H52" i="1" s="1"/>
  <c r="F15" i="8" s="1"/>
  <c r="G35" i="12"/>
  <c r="I35" i="12" s="1"/>
  <c r="J35" i="12" s="1"/>
  <c r="H52" i="12" s="1"/>
  <c r="F15" i="20" s="1"/>
  <c r="G19" i="12"/>
  <c r="I19" i="12" s="1"/>
  <c r="J19" i="12" s="1"/>
  <c r="F52" i="12" s="1"/>
  <c r="D15" i="20" s="1"/>
  <c r="G69" i="9"/>
  <c r="G36" i="9"/>
  <c r="H36" i="9" s="1"/>
  <c r="K52" i="9" s="1"/>
  <c r="L52" i="9" s="1"/>
  <c r="G20" i="9"/>
  <c r="I20" i="9" s="1"/>
  <c r="F69" i="9" s="1"/>
  <c r="G20" i="13"/>
  <c r="E52" i="13" s="1"/>
  <c r="F52" i="13" s="1"/>
  <c r="G52" i="13" s="1"/>
  <c r="G36" i="13"/>
  <c r="H36" i="13" s="1"/>
  <c r="G69" i="13"/>
  <c r="G20" i="19"/>
  <c r="I20" i="19" s="1"/>
  <c r="F69" i="19" s="1"/>
  <c r="G36" i="19"/>
  <c r="H36" i="19" s="1"/>
  <c r="G69" i="19"/>
  <c r="G20" i="18"/>
  <c r="I20" i="18" s="1"/>
  <c r="F69" i="18" s="1"/>
  <c r="D80" i="8" s="1"/>
  <c r="G36" i="18"/>
  <c r="H36" i="18" s="1"/>
  <c r="K52" i="18" s="1"/>
  <c r="H69" i="18" s="1"/>
  <c r="G69" i="18"/>
  <c r="E80" i="8" s="1"/>
  <c r="C80" i="8"/>
  <c r="C81" i="8"/>
  <c r="D81" i="8"/>
  <c r="E81" i="8"/>
  <c r="F81" i="8"/>
  <c r="G81" i="8"/>
  <c r="C15" i="8"/>
  <c r="E15" i="8"/>
  <c r="C16" i="8"/>
  <c r="E16" i="8"/>
  <c r="E66" i="20" l="1"/>
  <c r="E44" i="17"/>
  <c r="F44" i="17" s="1"/>
  <c r="G44" i="17" s="1"/>
  <c r="H44" i="17" s="1"/>
  <c r="E52" i="17"/>
  <c r="F52" i="17" s="1"/>
  <c r="G52" i="17" s="1"/>
  <c r="H52" i="17" s="1"/>
  <c r="D31" i="20"/>
  <c r="D25" i="20"/>
  <c r="I20" i="6"/>
  <c r="F69" i="6" s="1"/>
  <c r="D64" i="8" s="1"/>
  <c r="I44" i="11"/>
  <c r="G40" i="8" s="1"/>
  <c r="D40" i="8"/>
  <c r="I52" i="11"/>
  <c r="G48" i="8" s="1"/>
  <c r="D48" i="8"/>
  <c r="I46" i="11"/>
  <c r="G42" i="8" s="1"/>
  <c r="D42" i="8"/>
  <c r="I47" i="11"/>
  <c r="G43" i="8" s="1"/>
  <c r="D43" i="8"/>
  <c r="D45" i="8"/>
  <c r="D44" i="8"/>
  <c r="I47" i="15"/>
  <c r="G27" i="20" s="1"/>
  <c r="P8" i="20" s="1"/>
  <c r="P13" i="20" s="1"/>
  <c r="D27" i="20"/>
  <c r="I44" i="15"/>
  <c r="G24" i="20" s="1"/>
  <c r="M8" i="20" s="1"/>
  <c r="D24" i="20"/>
  <c r="I46" i="15"/>
  <c r="G26" i="20" s="1"/>
  <c r="O8" i="20" s="1"/>
  <c r="O13" i="20" s="1"/>
  <c r="D26" i="20"/>
  <c r="I52" i="15"/>
  <c r="G32" i="20" s="1"/>
  <c r="U8" i="20" s="1"/>
  <c r="U13" i="20" s="1"/>
  <c r="U23" i="20" s="1"/>
  <c r="D32" i="20"/>
  <c r="D28" i="20"/>
  <c r="D30" i="20"/>
  <c r="I44" i="16"/>
  <c r="G40" i="20" s="1"/>
  <c r="M9" i="20" s="1"/>
  <c r="M14" i="20" s="1"/>
  <c r="D40" i="20"/>
  <c r="D42" i="20"/>
  <c r="D41" i="20"/>
  <c r="D43" i="20"/>
  <c r="D47" i="20"/>
  <c r="D49" i="20"/>
  <c r="I13" i="17"/>
  <c r="F62" i="17" s="1"/>
  <c r="D57" i="20" s="1"/>
  <c r="I17" i="17"/>
  <c r="F66" i="17" s="1"/>
  <c r="D61" i="20" s="1"/>
  <c r="I21" i="17"/>
  <c r="F70" i="17" s="1"/>
  <c r="D65" i="20" s="1"/>
  <c r="E48" i="17"/>
  <c r="F48" i="17" s="1"/>
  <c r="G48" i="17" s="1"/>
  <c r="H48" i="17" s="1"/>
  <c r="I16" i="6"/>
  <c r="F65" i="6" s="1"/>
  <c r="D60" i="8" s="1"/>
  <c r="E46" i="6"/>
  <c r="F46" i="6" s="1"/>
  <c r="G46" i="6" s="1"/>
  <c r="H46" i="6" s="1"/>
  <c r="E50" i="6"/>
  <c r="F50" i="6" s="1"/>
  <c r="G50" i="6" s="1"/>
  <c r="I52" i="10"/>
  <c r="G32" i="8" s="1"/>
  <c r="D32" i="8"/>
  <c r="I44" i="10"/>
  <c r="G24" i="8" s="1"/>
  <c r="D24" i="8"/>
  <c r="D26" i="8"/>
  <c r="D25" i="8"/>
  <c r="E34" i="20"/>
  <c r="F34" i="20"/>
  <c r="E17" i="20"/>
  <c r="L16" i="20"/>
  <c r="L21" i="20" s="1"/>
  <c r="X24" i="20"/>
  <c r="S13" i="20"/>
  <c r="S23" i="20" s="1"/>
  <c r="N14" i="20"/>
  <c r="N24" i="20" s="1"/>
  <c r="V14" i="20"/>
  <c r="V24" i="20" s="1"/>
  <c r="L13" i="20"/>
  <c r="L18" i="20" s="1"/>
  <c r="T13" i="20"/>
  <c r="T23" i="20" s="1"/>
  <c r="O14" i="20"/>
  <c r="O24" i="20" s="1"/>
  <c r="U18" i="20"/>
  <c r="P19" i="20"/>
  <c r="X19" i="20"/>
  <c r="N23" i="20"/>
  <c r="L25" i="20"/>
  <c r="W11" i="20"/>
  <c r="N18" i="20"/>
  <c r="L17" i="20"/>
  <c r="L22" i="20" s="1"/>
  <c r="X23" i="20"/>
  <c r="S24" i="20"/>
  <c r="X18" i="20"/>
  <c r="S19" i="20"/>
  <c r="Q23" i="20"/>
  <c r="L24" i="20"/>
  <c r="T24" i="20"/>
  <c r="O19" i="20"/>
  <c r="Q18" i="20"/>
  <c r="T19" i="20"/>
  <c r="R23" i="20"/>
  <c r="X25" i="20"/>
  <c r="R18" i="20"/>
  <c r="X20" i="20"/>
  <c r="X22" i="20"/>
  <c r="T18" i="20"/>
  <c r="X17" i="20"/>
  <c r="L53" i="17"/>
  <c r="H70" i="17"/>
  <c r="F65" i="20" s="1"/>
  <c r="H66" i="17"/>
  <c r="F61" i="20" s="1"/>
  <c r="L49" i="17"/>
  <c r="I65" i="17"/>
  <c r="G60" i="20" s="1"/>
  <c r="Q10" i="20" s="1"/>
  <c r="Q20" i="20" s="1"/>
  <c r="H51" i="17"/>
  <c r="L45" i="17"/>
  <c r="H62" i="17"/>
  <c r="F57" i="20" s="1"/>
  <c r="L51" i="17"/>
  <c r="H68" i="17"/>
  <c r="I64" i="17"/>
  <c r="G59" i="20" s="1"/>
  <c r="P10" i="20" s="1"/>
  <c r="P15" i="20" s="1"/>
  <c r="H53" i="17"/>
  <c r="L47" i="17"/>
  <c r="H64" i="17"/>
  <c r="F59" i="20" s="1"/>
  <c r="I14" i="17"/>
  <c r="F63" i="17" s="1"/>
  <c r="I23" i="17"/>
  <c r="F72" i="17" s="1"/>
  <c r="I72" i="17" s="1"/>
  <c r="L46" i="17"/>
  <c r="L50" i="17"/>
  <c r="I18" i="17"/>
  <c r="F67" i="17" s="1"/>
  <c r="L55" i="17"/>
  <c r="H65" i="17"/>
  <c r="F60" i="20" s="1"/>
  <c r="H61" i="17"/>
  <c r="H69" i="17"/>
  <c r="H67" i="6"/>
  <c r="F62" i="8" s="1"/>
  <c r="L50" i="6"/>
  <c r="H68" i="6"/>
  <c r="L51" i="6"/>
  <c r="H44" i="6"/>
  <c r="I67" i="6"/>
  <c r="G62" i="8" s="1"/>
  <c r="L45" i="6"/>
  <c r="H62" i="6"/>
  <c r="F57" i="8" s="1"/>
  <c r="H69" i="6"/>
  <c r="F64" i="8" s="1"/>
  <c r="L52" i="6"/>
  <c r="L49" i="6"/>
  <c r="H66" i="6"/>
  <c r="F61" i="8" s="1"/>
  <c r="H61" i="6"/>
  <c r="L44" i="6"/>
  <c r="H50" i="6"/>
  <c r="H63" i="6"/>
  <c r="F58" i="8" s="1"/>
  <c r="L46" i="6"/>
  <c r="H55" i="6"/>
  <c r="I62" i="6"/>
  <c r="G57" i="8" s="1"/>
  <c r="H64" i="6"/>
  <c r="L47" i="6"/>
  <c r="L53" i="6"/>
  <c r="H70" i="6"/>
  <c r="F65" i="8" s="1"/>
  <c r="I63" i="6"/>
  <c r="G58" i="8" s="1"/>
  <c r="H65" i="6"/>
  <c r="F60" i="8" s="1"/>
  <c r="L48" i="6"/>
  <c r="H72" i="6"/>
  <c r="I72" i="6" s="1"/>
  <c r="L55" i="6"/>
  <c r="I70" i="6"/>
  <c r="G65" i="8" s="1"/>
  <c r="E45" i="6"/>
  <c r="F45" i="6" s="1"/>
  <c r="G45" i="6" s="1"/>
  <c r="H45" i="6" s="1"/>
  <c r="E53" i="6"/>
  <c r="F53" i="6" s="1"/>
  <c r="G53" i="6" s="1"/>
  <c r="H53" i="6" s="1"/>
  <c r="I17" i="6"/>
  <c r="F66" i="6" s="1"/>
  <c r="D61" i="8" s="1"/>
  <c r="E47" i="6"/>
  <c r="F47" i="6" s="1"/>
  <c r="G47" i="6" s="1"/>
  <c r="H47" i="6" s="1"/>
  <c r="E51" i="6"/>
  <c r="F51" i="6" s="1"/>
  <c r="G51" i="6" s="1"/>
  <c r="H51" i="6" s="1"/>
  <c r="E52" i="9"/>
  <c r="F52" i="9" s="1"/>
  <c r="G52" i="9" s="1"/>
  <c r="H52" i="9" s="1"/>
  <c r="I52" i="16"/>
  <c r="G48" i="20" s="1"/>
  <c r="U9" i="20" s="1"/>
  <c r="U14" i="20" s="1"/>
  <c r="I48" i="16"/>
  <c r="G44" i="20" s="1"/>
  <c r="Q9" i="20" s="1"/>
  <c r="Q14" i="20" s="1"/>
  <c r="I49" i="16"/>
  <c r="G45" i="20" s="1"/>
  <c r="I55" i="15"/>
  <c r="I53" i="15"/>
  <c r="G33" i="20" s="1"/>
  <c r="V8" i="20" s="1"/>
  <c r="V13" i="20" s="1"/>
  <c r="I52" i="12"/>
  <c r="G15" i="20" s="1"/>
  <c r="U12" i="20" s="1"/>
  <c r="U17" i="20" s="1"/>
  <c r="U27" i="20" s="1"/>
  <c r="I53" i="10"/>
  <c r="G33" i="8" s="1"/>
  <c r="I47" i="10"/>
  <c r="G27" i="8" s="1"/>
  <c r="I49" i="10"/>
  <c r="G29" i="8" s="1"/>
  <c r="I48" i="10"/>
  <c r="G28" i="8" s="1"/>
  <c r="I50" i="10"/>
  <c r="I55" i="10"/>
  <c r="I51" i="10"/>
  <c r="G31" i="8" s="1"/>
  <c r="I53" i="11"/>
  <c r="G49" i="8" s="1"/>
  <c r="I45" i="11"/>
  <c r="G41" i="8" s="1"/>
  <c r="I50" i="11"/>
  <c r="I51" i="11"/>
  <c r="G47" i="8" s="1"/>
  <c r="I52" i="1"/>
  <c r="G15" i="8" s="1"/>
  <c r="U12" i="8" s="1"/>
  <c r="U17" i="8" s="1"/>
  <c r="H69" i="9"/>
  <c r="I69" i="9" s="1"/>
  <c r="I20" i="13"/>
  <c r="F69" i="13" s="1"/>
  <c r="H52" i="13"/>
  <c r="K52" i="13"/>
  <c r="E52" i="19"/>
  <c r="F52" i="19" s="1"/>
  <c r="G52" i="19" s="1"/>
  <c r="H52" i="19" s="1"/>
  <c r="K52" i="19"/>
  <c r="E52" i="18"/>
  <c r="F52" i="18" s="1"/>
  <c r="G52" i="18" s="1"/>
  <c r="H52" i="18" s="1"/>
  <c r="I69" i="18"/>
  <c r="G80" i="8" s="1"/>
  <c r="U11" i="8" s="1"/>
  <c r="U26" i="8" s="1"/>
  <c r="F80" i="8"/>
  <c r="L52" i="18"/>
  <c r="C79" i="8"/>
  <c r="C78" i="8"/>
  <c r="C77" i="8"/>
  <c r="C76" i="8"/>
  <c r="C75" i="8"/>
  <c r="C74" i="8"/>
  <c r="C73" i="8"/>
  <c r="C72" i="8"/>
  <c r="C84" i="8"/>
  <c r="E19" i="8"/>
  <c r="C19" i="8"/>
  <c r="G22" i="1"/>
  <c r="I22" i="1" s="1"/>
  <c r="I66" i="17" l="1"/>
  <c r="G61" i="20" s="1"/>
  <c r="R10" i="20" s="1"/>
  <c r="R20" i="20" s="1"/>
  <c r="I68" i="17"/>
  <c r="G63" i="20" s="1"/>
  <c r="T10" i="20" s="1"/>
  <c r="T15" i="20" s="1"/>
  <c r="F63" i="20"/>
  <c r="I69" i="17"/>
  <c r="G64" i="20" s="1"/>
  <c r="U10" i="20" s="1"/>
  <c r="U15" i="20" s="1"/>
  <c r="F64" i="20"/>
  <c r="I62" i="17"/>
  <c r="G57" i="20" s="1"/>
  <c r="N10" i="20" s="1"/>
  <c r="N15" i="20" s="1"/>
  <c r="I61" i="17"/>
  <c r="G56" i="20" s="1"/>
  <c r="M10" i="20" s="1"/>
  <c r="M15" i="20" s="1"/>
  <c r="F56" i="20"/>
  <c r="F66" i="20" s="1"/>
  <c r="I68" i="6"/>
  <c r="G63" i="8" s="1"/>
  <c r="F63" i="8"/>
  <c r="I64" i="6"/>
  <c r="G59" i="8" s="1"/>
  <c r="F59" i="8"/>
  <c r="I61" i="6"/>
  <c r="G56" i="8" s="1"/>
  <c r="F56" i="8"/>
  <c r="T25" i="20"/>
  <c r="T20" i="20"/>
  <c r="R15" i="20"/>
  <c r="R25" i="20" s="1"/>
  <c r="M19" i="20"/>
  <c r="Q24" i="20"/>
  <c r="G50" i="20"/>
  <c r="D50" i="20"/>
  <c r="W8" i="20"/>
  <c r="W18" i="20" s="1"/>
  <c r="D34" i="20"/>
  <c r="P23" i="20"/>
  <c r="I69" i="6"/>
  <c r="G64" i="8" s="1"/>
  <c r="U9" i="8"/>
  <c r="U14" i="8" s="1"/>
  <c r="G46" i="8"/>
  <c r="V23" i="20"/>
  <c r="G34" i="20"/>
  <c r="P18" i="20"/>
  <c r="O18" i="20"/>
  <c r="O23" i="20"/>
  <c r="V18" i="20"/>
  <c r="M13" i="20"/>
  <c r="M23" i="20" s="1"/>
  <c r="M18" i="20"/>
  <c r="U24" i="20"/>
  <c r="U19" i="20"/>
  <c r="M24" i="20"/>
  <c r="Q19" i="20"/>
  <c r="R9" i="20"/>
  <c r="I67" i="17"/>
  <c r="G62" i="20" s="1"/>
  <c r="S10" i="20" s="1"/>
  <c r="D62" i="20"/>
  <c r="I63" i="17"/>
  <c r="G58" i="20" s="1"/>
  <c r="D58" i="20"/>
  <c r="P20" i="20"/>
  <c r="P25" i="20"/>
  <c r="N25" i="20"/>
  <c r="U20" i="20"/>
  <c r="Q15" i="20"/>
  <c r="Q25" i="20" s="1"/>
  <c r="D66" i="20"/>
  <c r="I70" i="17"/>
  <c r="G65" i="20" s="1"/>
  <c r="V10" i="20" s="1"/>
  <c r="I65" i="6"/>
  <c r="G60" i="8" s="1"/>
  <c r="Q10" i="8" s="1"/>
  <c r="U8" i="8"/>
  <c r="U13" i="8" s="1"/>
  <c r="G30" i="8"/>
  <c r="U22" i="20"/>
  <c r="W26" i="20"/>
  <c r="W16" i="20"/>
  <c r="W21" i="20"/>
  <c r="I66" i="6"/>
  <c r="U24" i="8"/>
  <c r="U23" i="8"/>
  <c r="U18" i="8"/>
  <c r="U19" i="8"/>
  <c r="U22" i="8"/>
  <c r="U27" i="8"/>
  <c r="L52" i="13"/>
  <c r="H69" i="13"/>
  <c r="I69" i="13" s="1"/>
  <c r="L52" i="19"/>
  <c r="H69" i="19"/>
  <c r="I69" i="19" s="1"/>
  <c r="E34" i="8"/>
  <c r="E66" i="8"/>
  <c r="P10" i="8"/>
  <c r="M10" i="8"/>
  <c r="S10" i="8"/>
  <c r="C66" i="8"/>
  <c r="Q9" i="8"/>
  <c r="R9" i="8"/>
  <c r="M9" i="8"/>
  <c r="S9" i="8"/>
  <c r="F50" i="8"/>
  <c r="O9" i="8"/>
  <c r="T9" i="8"/>
  <c r="V9" i="8"/>
  <c r="P9" i="8"/>
  <c r="X9" i="8"/>
  <c r="E50" i="8"/>
  <c r="Q8" i="8"/>
  <c r="R8" i="8"/>
  <c r="F34" i="8"/>
  <c r="M8" i="8"/>
  <c r="S8" i="8"/>
  <c r="N8" i="8"/>
  <c r="O8" i="8"/>
  <c r="T8" i="8"/>
  <c r="V8" i="8"/>
  <c r="P8" i="8"/>
  <c r="X8" i="8"/>
  <c r="C50" i="8"/>
  <c r="C34" i="8"/>
  <c r="E77" i="19"/>
  <c r="E76" i="19"/>
  <c r="G39" i="19"/>
  <c r="H39" i="19" s="1"/>
  <c r="G37" i="19"/>
  <c r="H37" i="19" s="1"/>
  <c r="G35" i="19"/>
  <c r="H35" i="19" s="1"/>
  <c r="G34" i="19"/>
  <c r="H34" i="19" s="1"/>
  <c r="G33" i="19"/>
  <c r="H33" i="19" s="1"/>
  <c r="G32" i="19"/>
  <c r="H32" i="19" s="1"/>
  <c r="G31" i="19"/>
  <c r="H31" i="19" s="1"/>
  <c r="G30" i="19"/>
  <c r="H30" i="19" s="1"/>
  <c r="G29" i="19"/>
  <c r="H29" i="19" s="1"/>
  <c r="G28" i="19"/>
  <c r="H28" i="19" s="1"/>
  <c r="G23" i="19"/>
  <c r="I23" i="19" s="1"/>
  <c r="F72" i="19" s="1"/>
  <c r="D84" i="20" s="1"/>
  <c r="G21" i="19"/>
  <c r="I21" i="19" s="1"/>
  <c r="F70" i="19" s="1"/>
  <c r="G19" i="19"/>
  <c r="I19" i="19" s="1"/>
  <c r="F68" i="19" s="1"/>
  <c r="G18" i="19"/>
  <c r="I18" i="19" s="1"/>
  <c r="F67" i="19" s="1"/>
  <c r="G17" i="19"/>
  <c r="E49" i="19" s="1"/>
  <c r="F49" i="19" s="1"/>
  <c r="G49" i="19" s="1"/>
  <c r="G16" i="19"/>
  <c r="I16" i="19" s="1"/>
  <c r="F65" i="19" s="1"/>
  <c r="G15" i="19"/>
  <c r="I15" i="19" s="1"/>
  <c r="F64" i="19" s="1"/>
  <c r="G14" i="19"/>
  <c r="I14" i="19" s="1"/>
  <c r="F63" i="19" s="1"/>
  <c r="G13" i="19"/>
  <c r="I13" i="19" s="1"/>
  <c r="F62" i="19" s="1"/>
  <c r="G12" i="19"/>
  <c r="E44" i="19" s="1"/>
  <c r="F44" i="19" s="1"/>
  <c r="G44" i="19" s="1"/>
  <c r="L11" i="8"/>
  <c r="L16" i="8" s="1"/>
  <c r="L21" i="8" s="1"/>
  <c r="L10" i="8"/>
  <c r="L9" i="8"/>
  <c r="L8" i="8"/>
  <c r="L12" i="8"/>
  <c r="N20" i="20" l="1"/>
  <c r="U25" i="20"/>
  <c r="M25" i="20"/>
  <c r="M20" i="20"/>
  <c r="W13" i="20"/>
  <c r="W23" i="20" s="1"/>
  <c r="R14" i="20"/>
  <c r="R19" i="20"/>
  <c r="R24" i="20"/>
  <c r="W9" i="20"/>
  <c r="G66" i="20"/>
  <c r="O10" i="20"/>
  <c r="S15" i="20"/>
  <c r="S25" i="20" s="1"/>
  <c r="S20" i="20"/>
  <c r="V15" i="20"/>
  <c r="V25" i="20"/>
  <c r="V20" i="20"/>
  <c r="U10" i="8"/>
  <c r="U20" i="8" s="1"/>
  <c r="G61" i="8"/>
  <c r="R10" i="8" s="1"/>
  <c r="U15" i="8"/>
  <c r="U25" i="8" s="1"/>
  <c r="X13" i="8"/>
  <c r="X23" i="8" s="1"/>
  <c r="X18" i="8"/>
  <c r="X19" i="8"/>
  <c r="X14" i="8"/>
  <c r="X24" i="8"/>
  <c r="E48" i="19"/>
  <c r="F48" i="19" s="1"/>
  <c r="G48" i="19" s="1"/>
  <c r="H48" i="19" s="1"/>
  <c r="H49" i="19"/>
  <c r="D34" i="8"/>
  <c r="F66" i="8"/>
  <c r="D50" i="8"/>
  <c r="V10" i="8"/>
  <c r="X10" i="8"/>
  <c r="T10" i="8"/>
  <c r="O10" i="8"/>
  <c r="G50" i="8"/>
  <c r="N9" i="8"/>
  <c r="G34" i="8"/>
  <c r="L26" i="8"/>
  <c r="E45" i="19"/>
  <c r="F45" i="19" s="1"/>
  <c r="G45" i="19" s="1"/>
  <c r="H45" i="19" s="1"/>
  <c r="K45" i="19" s="1"/>
  <c r="E47" i="19"/>
  <c r="F47" i="19" s="1"/>
  <c r="G47" i="19" s="1"/>
  <c r="H47" i="19" s="1"/>
  <c r="K47" i="19" s="1"/>
  <c r="E55" i="19"/>
  <c r="F55" i="19" s="1"/>
  <c r="G55" i="19" s="1"/>
  <c r="H55" i="19" s="1"/>
  <c r="G64" i="19"/>
  <c r="G66" i="19"/>
  <c r="K49" i="19"/>
  <c r="G62" i="19"/>
  <c r="H44" i="19"/>
  <c r="E46" i="19"/>
  <c r="F46" i="19" s="1"/>
  <c r="G46" i="19" s="1"/>
  <c r="H46" i="19" s="1"/>
  <c r="I12" i="19"/>
  <c r="F61" i="19" s="1"/>
  <c r="E51" i="19"/>
  <c r="F51" i="19" s="1"/>
  <c r="G51" i="19" s="1"/>
  <c r="H51" i="19" s="1"/>
  <c r="E50" i="19"/>
  <c r="F50" i="19" s="1"/>
  <c r="G50" i="19" s="1"/>
  <c r="H50" i="19" s="1"/>
  <c r="E53" i="19"/>
  <c r="F53" i="19" s="1"/>
  <c r="G53" i="19" s="1"/>
  <c r="H53" i="19" s="1"/>
  <c r="I17" i="19"/>
  <c r="F66" i="19" s="1"/>
  <c r="W19" i="20" l="1"/>
  <c r="W14" i="20"/>
  <c r="W24" i="20" s="1"/>
  <c r="O15" i="20"/>
  <c r="O25" i="20" s="1"/>
  <c r="O20" i="20"/>
  <c r="W10" i="20"/>
  <c r="X15" i="8"/>
  <c r="X20" i="8"/>
  <c r="X25" i="8"/>
  <c r="D66" i="8"/>
  <c r="I55" i="19"/>
  <c r="K55" i="19" s="1"/>
  <c r="G66" i="8"/>
  <c r="N10" i="8"/>
  <c r="G61" i="19"/>
  <c r="K44" i="19"/>
  <c r="H66" i="19"/>
  <c r="L49" i="19"/>
  <c r="K53" i="19"/>
  <c r="G70" i="19"/>
  <c r="G67" i="19"/>
  <c r="K50" i="19"/>
  <c r="G68" i="19"/>
  <c r="K51" i="19"/>
  <c r="H64" i="19"/>
  <c r="L47" i="19"/>
  <c r="K46" i="19"/>
  <c r="G63" i="19"/>
  <c r="H62" i="19"/>
  <c r="L45" i="19"/>
  <c r="K48" i="19"/>
  <c r="G65" i="19"/>
  <c r="W20" i="20" l="1"/>
  <c r="W15" i="20"/>
  <c r="W25" i="20" s="1"/>
  <c r="I62" i="19"/>
  <c r="G72" i="19"/>
  <c r="E84" i="20" s="1"/>
  <c r="L55" i="19"/>
  <c r="H72" i="19"/>
  <c r="F84" i="20" s="1"/>
  <c r="I66" i="19"/>
  <c r="I64" i="19"/>
  <c r="H70" i="19"/>
  <c r="L53" i="19"/>
  <c r="H65" i="19"/>
  <c r="L48" i="19"/>
  <c r="H68" i="19"/>
  <c r="L51" i="19"/>
  <c r="H67" i="19"/>
  <c r="L50" i="19"/>
  <c r="L44" i="19"/>
  <c r="H61" i="19"/>
  <c r="L46" i="19"/>
  <c r="H63" i="19"/>
  <c r="I63" i="19" l="1"/>
  <c r="I72" i="19"/>
  <c r="G84" i="20" s="1"/>
  <c r="X11" i="20" s="1"/>
  <c r="I61" i="19"/>
  <c r="I70" i="19"/>
  <c r="I68" i="19"/>
  <c r="I65" i="19"/>
  <c r="I67" i="19"/>
  <c r="E77" i="18"/>
  <c r="E76" i="18"/>
  <c r="C82" i="8"/>
  <c r="G39" i="18"/>
  <c r="H39" i="18" s="1"/>
  <c r="G37" i="18"/>
  <c r="H37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3" i="18"/>
  <c r="E55" i="18" s="1"/>
  <c r="F55" i="18" s="1"/>
  <c r="G55" i="18" s="1"/>
  <c r="G21" i="18"/>
  <c r="E53" i="18" s="1"/>
  <c r="F53" i="18" s="1"/>
  <c r="G53" i="18" s="1"/>
  <c r="G19" i="18"/>
  <c r="I19" i="18" s="1"/>
  <c r="F68" i="18" s="1"/>
  <c r="D79" i="8" s="1"/>
  <c r="G18" i="18"/>
  <c r="E50" i="18" s="1"/>
  <c r="F50" i="18" s="1"/>
  <c r="G50" i="18" s="1"/>
  <c r="G17" i="18"/>
  <c r="E49" i="18" s="1"/>
  <c r="F49" i="18" s="1"/>
  <c r="G49" i="18" s="1"/>
  <c r="G16" i="18"/>
  <c r="E48" i="18" s="1"/>
  <c r="F48" i="18" s="1"/>
  <c r="G48" i="18" s="1"/>
  <c r="G15" i="18"/>
  <c r="I15" i="18" s="1"/>
  <c r="F64" i="18" s="1"/>
  <c r="D75" i="8" s="1"/>
  <c r="G14" i="18"/>
  <c r="E46" i="18" s="1"/>
  <c r="F46" i="18" s="1"/>
  <c r="G46" i="18" s="1"/>
  <c r="G13" i="18"/>
  <c r="E45" i="18" s="1"/>
  <c r="F45" i="18" s="1"/>
  <c r="G45" i="18" s="1"/>
  <c r="G12" i="18"/>
  <c r="E44" i="18" s="1"/>
  <c r="F44" i="18" s="1"/>
  <c r="G44" i="18" s="1"/>
  <c r="X16" i="20" l="1"/>
  <c r="X26" i="20" s="1"/>
  <c r="X21" i="20"/>
  <c r="H45" i="18"/>
  <c r="E51" i="18"/>
  <c r="F51" i="18" s="1"/>
  <c r="G51" i="18" s="1"/>
  <c r="H51" i="18" s="1"/>
  <c r="H53" i="18"/>
  <c r="I16" i="18"/>
  <c r="F65" i="18" s="1"/>
  <c r="D76" i="8" s="1"/>
  <c r="H46" i="18"/>
  <c r="I14" i="18"/>
  <c r="F63" i="18" s="1"/>
  <c r="D74" i="8" s="1"/>
  <c r="H48" i="18"/>
  <c r="H50" i="18"/>
  <c r="H44" i="18"/>
  <c r="H55" i="18"/>
  <c r="I21" i="18"/>
  <c r="F70" i="18" s="1"/>
  <c r="E47" i="18"/>
  <c r="F47" i="18" s="1"/>
  <c r="G47" i="18" s="1"/>
  <c r="H47" i="18" s="1"/>
  <c r="G64" i="18" s="1"/>
  <c r="E75" i="8" s="1"/>
  <c r="I18" i="18"/>
  <c r="F67" i="18" s="1"/>
  <c r="D78" i="8" s="1"/>
  <c r="I12" i="18"/>
  <c r="F61" i="18" s="1"/>
  <c r="D72" i="8" s="1"/>
  <c r="G63" i="18"/>
  <c r="E74" i="8" s="1"/>
  <c r="K46" i="18"/>
  <c r="K51" i="18"/>
  <c r="G68" i="18"/>
  <c r="E79" i="8" s="1"/>
  <c r="G70" i="18"/>
  <c r="K53" i="18"/>
  <c r="H49" i="18"/>
  <c r="G67" i="18"/>
  <c r="E78" i="8" s="1"/>
  <c r="K50" i="18"/>
  <c r="G65" i="18"/>
  <c r="E76" i="8" s="1"/>
  <c r="K48" i="18"/>
  <c r="G61" i="18"/>
  <c r="E72" i="8" s="1"/>
  <c r="K44" i="18"/>
  <c r="K45" i="18"/>
  <c r="G62" i="18"/>
  <c r="E73" i="8" s="1"/>
  <c r="I13" i="18"/>
  <c r="F62" i="18" s="1"/>
  <c r="D73" i="8" s="1"/>
  <c r="I17" i="18"/>
  <c r="F66" i="18" s="1"/>
  <c r="D77" i="8" s="1"/>
  <c r="I23" i="18"/>
  <c r="F72" i="18" s="1"/>
  <c r="D84" i="8" s="1"/>
  <c r="E77" i="13"/>
  <c r="E76" i="13"/>
  <c r="E60" i="12"/>
  <c r="E59" i="12"/>
  <c r="G39" i="13"/>
  <c r="H39" i="13" s="1"/>
  <c r="G37" i="13"/>
  <c r="H37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3" i="13"/>
  <c r="E55" i="13" s="1"/>
  <c r="F55" i="13" s="1"/>
  <c r="G21" i="13"/>
  <c r="E53" i="13" s="1"/>
  <c r="F53" i="13" s="1"/>
  <c r="G19" i="13"/>
  <c r="E51" i="13" s="1"/>
  <c r="F51" i="13" s="1"/>
  <c r="G18" i="13"/>
  <c r="E50" i="13" s="1"/>
  <c r="F50" i="13" s="1"/>
  <c r="G50" i="13" s="1"/>
  <c r="G17" i="13"/>
  <c r="E49" i="13" s="1"/>
  <c r="F49" i="13" s="1"/>
  <c r="G16" i="13"/>
  <c r="I16" i="13" s="1"/>
  <c r="G15" i="13"/>
  <c r="I15" i="13" s="1"/>
  <c r="F64" i="13" s="1"/>
  <c r="G14" i="13"/>
  <c r="E46" i="13" s="1"/>
  <c r="F46" i="13" s="1"/>
  <c r="G13" i="13"/>
  <c r="E45" i="13" s="1"/>
  <c r="F45" i="13" s="1"/>
  <c r="G45" i="13" s="1"/>
  <c r="G12" i="13"/>
  <c r="E44" i="13" s="1"/>
  <c r="F44" i="13" s="1"/>
  <c r="G38" i="12"/>
  <c r="I38" i="12" s="1"/>
  <c r="J38" i="12" s="1"/>
  <c r="H55" i="12" s="1"/>
  <c r="G36" i="12"/>
  <c r="I36" i="12" s="1"/>
  <c r="J36" i="12" s="1"/>
  <c r="H53" i="12" s="1"/>
  <c r="F16" i="20" s="1"/>
  <c r="G34" i="12"/>
  <c r="I34" i="12" s="1"/>
  <c r="J34" i="12" s="1"/>
  <c r="H51" i="12" s="1"/>
  <c r="F14" i="20" s="1"/>
  <c r="G33" i="12"/>
  <c r="I33" i="12" s="1"/>
  <c r="J33" i="12" s="1"/>
  <c r="H50" i="12" s="1"/>
  <c r="F13" i="20" s="1"/>
  <c r="G32" i="12"/>
  <c r="I32" i="12" s="1"/>
  <c r="J32" i="12" s="1"/>
  <c r="H49" i="12" s="1"/>
  <c r="F12" i="20" s="1"/>
  <c r="G31" i="12"/>
  <c r="I31" i="12" s="1"/>
  <c r="J31" i="12" s="1"/>
  <c r="H48" i="12" s="1"/>
  <c r="F11" i="20" s="1"/>
  <c r="G30" i="12"/>
  <c r="I30" i="12" s="1"/>
  <c r="J30" i="12" s="1"/>
  <c r="H47" i="12" s="1"/>
  <c r="F10" i="20" s="1"/>
  <c r="G29" i="12"/>
  <c r="I29" i="12" s="1"/>
  <c r="J29" i="12" s="1"/>
  <c r="H46" i="12" s="1"/>
  <c r="F9" i="20" s="1"/>
  <c r="G28" i="12"/>
  <c r="I28" i="12" s="1"/>
  <c r="J28" i="12" s="1"/>
  <c r="H45" i="12" s="1"/>
  <c r="F8" i="20" s="1"/>
  <c r="G27" i="12"/>
  <c r="I27" i="12" s="1"/>
  <c r="J27" i="12" s="1"/>
  <c r="H44" i="12" s="1"/>
  <c r="F7" i="20" s="1"/>
  <c r="G22" i="12"/>
  <c r="I22" i="12" s="1"/>
  <c r="J22" i="12" s="1"/>
  <c r="G20" i="12"/>
  <c r="I20" i="12" s="1"/>
  <c r="J20" i="12" s="1"/>
  <c r="F53" i="12" s="1"/>
  <c r="D16" i="20" s="1"/>
  <c r="G18" i="12"/>
  <c r="I18" i="12" s="1"/>
  <c r="J18" i="12" s="1"/>
  <c r="F51" i="12" s="1"/>
  <c r="D14" i="20" s="1"/>
  <c r="G17" i="12"/>
  <c r="I17" i="12" s="1"/>
  <c r="J17" i="12" s="1"/>
  <c r="F50" i="12" s="1"/>
  <c r="D13" i="20" s="1"/>
  <c r="G16" i="12"/>
  <c r="I16" i="12" s="1"/>
  <c r="J16" i="12" s="1"/>
  <c r="F49" i="12" s="1"/>
  <c r="D12" i="20" s="1"/>
  <c r="G15" i="12"/>
  <c r="I15" i="12" s="1"/>
  <c r="J15" i="12" s="1"/>
  <c r="F48" i="12" s="1"/>
  <c r="D11" i="20" s="1"/>
  <c r="G14" i="12"/>
  <c r="I14" i="12" s="1"/>
  <c r="J14" i="12" s="1"/>
  <c r="F47" i="12" s="1"/>
  <c r="D10" i="20" s="1"/>
  <c r="G13" i="12"/>
  <c r="I13" i="12" s="1"/>
  <c r="J13" i="12" s="1"/>
  <c r="F46" i="12" s="1"/>
  <c r="D9" i="20" s="1"/>
  <c r="G12" i="12"/>
  <c r="I12" i="12" s="1"/>
  <c r="J12" i="12" s="1"/>
  <c r="F45" i="12" s="1"/>
  <c r="D8" i="20" s="1"/>
  <c r="G11" i="12"/>
  <c r="I11" i="12" s="1"/>
  <c r="J11" i="12" s="1"/>
  <c r="F44" i="12" s="1"/>
  <c r="D7" i="20" s="1"/>
  <c r="E14" i="8"/>
  <c r="E13" i="8"/>
  <c r="E12" i="8"/>
  <c r="E11" i="8"/>
  <c r="E10" i="8"/>
  <c r="E9" i="8"/>
  <c r="E8" i="8"/>
  <c r="E7" i="8"/>
  <c r="C14" i="8"/>
  <c r="C13" i="8"/>
  <c r="C12" i="8"/>
  <c r="C11" i="8"/>
  <c r="C10" i="8"/>
  <c r="C9" i="8"/>
  <c r="C8" i="8"/>
  <c r="C7" i="8"/>
  <c r="E77" i="9"/>
  <c r="E76" i="9"/>
  <c r="G39" i="9"/>
  <c r="H39" i="9" s="1"/>
  <c r="G37" i="9"/>
  <c r="H37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3" i="9"/>
  <c r="E55" i="9" s="1"/>
  <c r="F55" i="9" s="1"/>
  <c r="G55" i="9" s="1"/>
  <c r="G21" i="9"/>
  <c r="I21" i="9" s="1"/>
  <c r="F70" i="9" s="1"/>
  <c r="G19" i="9"/>
  <c r="I19" i="9" s="1"/>
  <c r="F68" i="9" s="1"/>
  <c r="G18" i="9"/>
  <c r="E50" i="9" s="1"/>
  <c r="F50" i="9" s="1"/>
  <c r="G50" i="9" s="1"/>
  <c r="G17" i="9"/>
  <c r="E49" i="9" s="1"/>
  <c r="F49" i="9" s="1"/>
  <c r="G49" i="9" s="1"/>
  <c r="G16" i="9"/>
  <c r="E48" i="9" s="1"/>
  <c r="F48" i="9" s="1"/>
  <c r="G48" i="9" s="1"/>
  <c r="G15" i="9"/>
  <c r="I15" i="9" s="1"/>
  <c r="F64" i="9" s="1"/>
  <c r="G14" i="9"/>
  <c r="I14" i="9" s="1"/>
  <c r="F63" i="9" s="1"/>
  <c r="G13" i="9"/>
  <c r="E45" i="9" s="1"/>
  <c r="F45" i="9" s="1"/>
  <c r="G45" i="9" s="1"/>
  <c r="G12" i="9"/>
  <c r="I12" i="9" s="1"/>
  <c r="F61" i="9" s="1"/>
  <c r="L25" i="8"/>
  <c r="L24" i="8"/>
  <c r="L23" i="8"/>
  <c r="L32" i="8"/>
  <c r="L31" i="8"/>
  <c r="D17" i="20" l="1"/>
  <c r="I55" i="18"/>
  <c r="G72" i="18" s="1"/>
  <c r="E84" i="8" s="1"/>
  <c r="F17" i="20"/>
  <c r="D82" i="8"/>
  <c r="I49" i="12"/>
  <c r="G12" i="20" s="1"/>
  <c r="R12" i="20" s="1"/>
  <c r="I45" i="12"/>
  <c r="G8" i="20" s="1"/>
  <c r="N12" i="20" s="1"/>
  <c r="W9" i="8"/>
  <c r="C17" i="8"/>
  <c r="E17" i="8"/>
  <c r="W8" i="8"/>
  <c r="S19" i="8"/>
  <c r="L27" i="8"/>
  <c r="N18" i="8"/>
  <c r="Q18" i="8"/>
  <c r="O19" i="8"/>
  <c r="M19" i="8"/>
  <c r="Q14" i="8"/>
  <c r="Q24" i="8" s="1"/>
  <c r="V14" i="8"/>
  <c r="V24" i="8" s="1"/>
  <c r="M18" i="8"/>
  <c r="N19" i="8"/>
  <c r="P19" i="8"/>
  <c r="T19" i="8"/>
  <c r="K47" i="18"/>
  <c r="H64" i="18" s="1"/>
  <c r="F75" i="8" s="1"/>
  <c r="H61" i="18"/>
  <c r="L44" i="18"/>
  <c r="K49" i="18"/>
  <c r="G66" i="18"/>
  <c r="L45" i="18"/>
  <c r="H62" i="18"/>
  <c r="H65" i="18"/>
  <c r="F76" i="8" s="1"/>
  <c r="L48" i="18"/>
  <c r="H70" i="18"/>
  <c r="L53" i="18"/>
  <c r="H67" i="18"/>
  <c r="F78" i="8" s="1"/>
  <c r="L50" i="18"/>
  <c r="H63" i="18"/>
  <c r="L46" i="18"/>
  <c r="L51" i="18"/>
  <c r="H68" i="18"/>
  <c r="F79" i="8" s="1"/>
  <c r="I16" i="9"/>
  <c r="F65" i="9" s="1"/>
  <c r="E46" i="9"/>
  <c r="F46" i="9" s="1"/>
  <c r="G46" i="9" s="1"/>
  <c r="H46" i="9" s="1"/>
  <c r="E47" i="9"/>
  <c r="F47" i="9" s="1"/>
  <c r="G47" i="9" s="1"/>
  <c r="H47" i="9" s="1"/>
  <c r="R19" i="8"/>
  <c r="R14" i="8"/>
  <c r="R24" i="8" s="1"/>
  <c r="O13" i="8"/>
  <c r="O23" i="8" s="1"/>
  <c r="O18" i="8"/>
  <c r="S18" i="8"/>
  <c r="S13" i="8"/>
  <c r="S23" i="8" s="1"/>
  <c r="N13" i="8"/>
  <c r="N23" i="8" s="1"/>
  <c r="M14" i="8"/>
  <c r="M24" i="8" s="1"/>
  <c r="S14" i="8"/>
  <c r="S24" i="8" s="1"/>
  <c r="Q19" i="8"/>
  <c r="V19" i="8"/>
  <c r="Q13" i="8"/>
  <c r="Q23" i="8" s="1"/>
  <c r="H48" i="9"/>
  <c r="G65" i="9" s="1"/>
  <c r="E44" i="9"/>
  <c r="F44" i="9" s="1"/>
  <c r="G44" i="9" s="1"/>
  <c r="H44" i="9" s="1"/>
  <c r="K44" i="9" s="1"/>
  <c r="I17" i="9"/>
  <c r="F66" i="9" s="1"/>
  <c r="H50" i="9"/>
  <c r="K50" i="9" s="1"/>
  <c r="H67" i="9" s="1"/>
  <c r="E51" i="9"/>
  <c r="F51" i="9" s="1"/>
  <c r="G51" i="9" s="1"/>
  <c r="H51" i="9" s="1"/>
  <c r="K51" i="9" s="1"/>
  <c r="H68" i="9" s="1"/>
  <c r="I13" i="9"/>
  <c r="F62" i="9" s="1"/>
  <c r="E53" i="9"/>
  <c r="F53" i="9" s="1"/>
  <c r="G53" i="9" s="1"/>
  <c r="H53" i="9" s="1"/>
  <c r="G70" i="9" s="1"/>
  <c r="I19" i="13"/>
  <c r="F68" i="13" s="1"/>
  <c r="I17" i="13"/>
  <c r="F66" i="13" s="1"/>
  <c r="E47" i="13"/>
  <c r="F47" i="13" s="1"/>
  <c r="G47" i="13" s="1"/>
  <c r="H47" i="13" s="1"/>
  <c r="G64" i="13" s="1"/>
  <c r="I18" i="13"/>
  <c r="F67" i="13" s="1"/>
  <c r="G44" i="13"/>
  <c r="H44" i="13" s="1"/>
  <c r="K44" i="13" s="1"/>
  <c r="G49" i="13"/>
  <c r="H49" i="13" s="1"/>
  <c r="K49" i="13" s="1"/>
  <c r="H66" i="13" s="1"/>
  <c r="G55" i="13"/>
  <c r="H55" i="13" s="1"/>
  <c r="G72" i="13" s="1"/>
  <c r="G51" i="13"/>
  <c r="H51" i="13" s="1"/>
  <c r="G46" i="13"/>
  <c r="H46" i="13" s="1"/>
  <c r="G63" i="13" s="1"/>
  <c r="G53" i="13"/>
  <c r="H53" i="13" s="1"/>
  <c r="G70" i="13" s="1"/>
  <c r="F65" i="13"/>
  <c r="I47" i="12"/>
  <c r="G10" i="20" s="1"/>
  <c r="P12" i="20" s="1"/>
  <c r="I50" i="12"/>
  <c r="G13" i="20" s="1"/>
  <c r="S12" i="20" s="1"/>
  <c r="I51" i="12"/>
  <c r="G14" i="20" s="1"/>
  <c r="T12" i="20" s="1"/>
  <c r="I48" i="12"/>
  <c r="G11" i="20" s="1"/>
  <c r="Q12" i="20" s="1"/>
  <c r="H50" i="13"/>
  <c r="G61" i="13"/>
  <c r="G66" i="13"/>
  <c r="H45" i="13"/>
  <c r="I12" i="13"/>
  <c r="F61" i="13" s="1"/>
  <c r="I14" i="13"/>
  <c r="F63" i="13" s="1"/>
  <c r="I21" i="13"/>
  <c r="F70" i="13" s="1"/>
  <c r="E48" i="13"/>
  <c r="F48" i="13" s="1"/>
  <c r="G48" i="13" s="1"/>
  <c r="H48" i="13" s="1"/>
  <c r="I13" i="13"/>
  <c r="F62" i="13" s="1"/>
  <c r="I23" i="13"/>
  <c r="F72" i="13" s="1"/>
  <c r="I46" i="12"/>
  <c r="G9" i="20" s="1"/>
  <c r="O12" i="20" s="1"/>
  <c r="I53" i="12"/>
  <c r="G16" i="20" s="1"/>
  <c r="V12" i="20" s="1"/>
  <c r="I44" i="12"/>
  <c r="G7" i="20" s="1"/>
  <c r="F55" i="12"/>
  <c r="P13" i="8"/>
  <c r="P23" i="8" s="1"/>
  <c r="P18" i="8"/>
  <c r="R13" i="8"/>
  <c r="R23" i="8" s="1"/>
  <c r="R18" i="8"/>
  <c r="M13" i="8"/>
  <c r="M23" i="8" s="1"/>
  <c r="V13" i="8"/>
  <c r="V23" i="8" s="1"/>
  <c r="T14" i="8"/>
  <c r="T24" i="8" s="1"/>
  <c r="N14" i="8"/>
  <c r="N24" i="8" s="1"/>
  <c r="O14" i="8"/>
  <c r="O24" i="8" s="1"/>
  <c r="P14" i="8"/>
  <c r="P24" i="8" s="1"/>
  <c r="G63" i="9"/>
  <c r="K46" i="9"/>
  <c r="H63" i="9" s="1"/>
  <c r="K48" i="9"/>
  <c r="H65" i="9" s="1"/>
  <c r="H49" i="9"/>
  <c r="H45" i="9"/>
  <c r="H55" i="9"/>
  <c r="I18" i="9"/>
  <c r="F67" i="9" s="1"/>
  <c r="I23" i="9"/>
  <c r="F72" i="9" s="1"/>
  <c r="L13" i="8"/>
  <c r="L18" i="8" s="1"/>
  <c r="L14" i="8"/>
  <c r="L19" i="8" s="1"/>
  <c r="L15" i="8"/>
  <c r="L20" i="8" s="1"/>
  <c r="L17" i="8"/>
  <c r="L22" i="8" s="1"/>
  <c r="K55" i="18" l="1"/>
  <c r="L55" i="18" s="1"/>
  <c r="V22" i="20"/>
  <c r="V17" i="20"/>
  <c r="V27" i="20" s="1"/>
  <c r="O22" i="20"/>
  <c r="O17" i="20"/>
  <c r="O27" i="20" s="1"/>
  <c r="N17" i="20"/>
  <c r="N27" i="20" s="1"/>
  <c r="N22" i="20"/>
  <c r="R22" i="20"/>
  <c r="R17" i="20"/>
  <c r="R27" i="20" s="1"/>
  <c r="M12" i="20"/>
  <c r="G17" i="20"/>
  <c r="Q22" i="20"/>
  <c r="Q17" i="20"/>
  <c r="Q27" i="20" s="1"/>
  <c r="T17" i="20"/>
  <c r="T27" i="20" s="1"/>
  <c r="T22" i="20"/>
  <c r="P22" i="20"/>
  <c r="P17" i="20"/>
  <c r="P27" i="20" s="1"/>
  <c r="S17" i="20"/>
  <c r="S27" i="20" s="1"/>
  <c r="S22" i="20"/>
  <c r="E77" i="8"/>
  <c r="E82" i="8" s="1"/>
  <c r="K55" i="13"/>
  <c r="H72" i="13" s="1"/>
  <c r="I72" i="13" s="1"/>
  <c r="I63" i="18"/>
  <c r="G74" i="8" s="1"/>
  <c r="F74" i="8"/>
  <c r="I62" i="18"/>
  <c r="G73" i="8" s="1"/>
  <c r="F73" i="8"/>
  <c r="I61" i="18"/>
  <c r="G72" i="8" s="1"/>
  <c r="F72" i="8"/>
  <c r="I68" i="18"/>
  <c r="I65" i="18"/>
  <c r="I70" i="18"/>
  <c r="I67" i="18"/>
  <c r="I64" i="18"/>
  <c r="G75" i="8" s="1"/>
  <c r="W14" i="8"/>
  <c r="W24" i="8" s="1"/>
  <c r="V18" i="8"/>
  <c r="T13" i="8"/>
  <c r="T23" i="8" s="1"/>
  <c r="I55" i="12"/>
  <c r="W19" i="8"/>
  <c r="W18" i="8"/>
  <c r="W13" i="8"/>
  <c r="W23" i="8" s="1"/>
  <c r="T18" i="8"/>
  <c r="L47" i="18"/>
  <c r="H66" i="18"/>
  <c r="F77" i="8" s="1"/>
  <c r="L49" i="18"/>
  <c r="G67" i="9"/>
  <c r="K47" i="9"/>
  <c r="H64" i="9" s="1"/>
  <c r="I64" i="9" s="1"/>
  <c r="G64" i="9"/>
  <c r="G61" i="9"/>
  <c r="K53" i="9"/>
  <c r="H70" i="9" s="1"/>
  <c r="I70" i="9" s="1"/>
  <c r="G68" i="9"/>
  <c r="K46" i="13"/>
  <c r="K53" i="13"/>
  <c r="K47" i="13"/>
  <c r="K45" i="13"/>
  <c r="H62" i="13" s="1"/>
  <c r="G62" i="13"/>
  <c r="I66" i="13"/>
  <c r="L49" i="13"/>
  <c r="G67" i="13"/>
  <c r="K50" i="13"/>
  <c r="H67" i="13" s="1"/>
  <c r="G65" i="13"/>
  <c r="K48" i="13"/>
  <c r="H65" i="13" s="1"/>
  <c r="K51" i="13"/>
  <c r="H68" i="13" s="1"/>
  <c r="G68" i="13"/>
  <c r="H61" i="13"/>
  <c r="I61" i="13" s="1"/>
  <c r="L44" i="13"/>
  <c r="G72" i="9"/>
  <c r="K55" i="9"/>
  <c r="H72" i="9" s="1"/>
  <c r="L51" i="9"/>
  <c r="I68" i="9"/>
  <c r="L50" i="9"/>
  <c r="I65" i="9"/>
  <c r="L48" i="9"/>
  <c r="K45" i="9"/>
  <c r="H62" i="9" s="1"/>
  <c r="G62" i="9"/>
  <c r="K49" i="9"/>
  <c r="H66" i="9" s="1"/>
  <c r="G66" i="9"/>
  <c r="I67" i="9"/>
  <c r="I63" i="9"/>
  <c r="L46" i="9"/>
  <c r="H61" i="9"/>
  <c r="I61" i="9" s="1"/>
  <c r="L44" i="9"/>
  <c r="H72" i="18" l="1"/>
  <c r="F84" i="8" s="1"/>
  <c r="M22" i="20"/>
  <c r="W12" i="20"/>
  <c r="M17" i="20"/>
  <c r="M27" i="20" s="1"/>
  <c r="L55" i="13"/>
  <c r="G79" i="8"/>
  <c r="T11" i="8" s="1"/>
  <c r="T26" i="8" s="1"/>
  <c r="N11" i="8"/>
  <c r="N26" i="8" s="1"/>
  <c r="G76" i="8"/>
  <c r="Q11" i="8" s="1"/>
  <c r="Q26" i="8" s="1"/>
  <c r="P11" i="8"/>
  <c r="P26" i="8" s="1"/>
  <c r="G78" i="8"/>
  <c r="V11" i="8"/>
  <c r="V26" i="8" s="1"/>
  <c r="I66" i="18"/>
  <c r="F82" i="8"/>
  <c r="M11" i="8"/>
  <c r="M26" i="8" s="1"/>
  <c r="L47" i="9"/>
  <c r="L53" i="9"/>
  <c r="H64" i="13"/>
  <c r="I64" i="13" s="1"/>
  <c r="L53" i="13"/>
  <c r="H70" i="13"/>
  <c r="I70" i="13" s="1"/>
  <c r="L46" i="13"/>
  <c r="H63" i="13"/>
  <c r="I63" i="13" s="1"/>
  <c r="L47" i="13"/>
  <c r="I67" i="13"/>
  <c r="L50" i="13"/>
  <c r="L45" i="13"/>
  <c r="I62" i="13"/>
  <c r="I65" i="13"/>
  <c r="L48" i="13"/>
  <c r="L51" i="13"/>
  <c r="I68" i="13"/>
  <c r="I72" i="9"/>
  <c r="L55" i="9"/>
  <c r="I66" i="9"/>
  <c r="L49" i="9"/>
  <c r="L45" i="9"/>
  <c r="I62" i="9"/>
  <c r="I72" i="18" l="1"/>
  <c r="G84" i="8" s="1"/>
  <c r="X11" i="8" s="1"/>
  <c r="W22" i="20"/>
  <c r="W17" i="20"/>
  <c r="W27" i="20" s="1"/>
  <c r="S11" i="8"/>
  <c r="S26" i="8" s="1"/>
  <c r="O11" i="8"/>
  <c r="O26" i="8" s="1"/>
  <c r="G77" i="8"/>
  <c r="R11" i="8" s="1"/>
  <c r="R26" i="8" s="1"/>
  <c r="G82" i="8"/>
  <c r="X16" i="8" l="1"/>
  <c r="X26" i="8" s="1"/>
  <c r="X21" i="8"/>
  <c r="W11" i="8"/>
  <c r="E60" i="1"/>
  <c r="E59" i="1"/>
  <c r="J22" i="1" s="1"/>
  <c r="F55" i="1" s="1"/>
  <c r="D19" i="8" s="1"/>
  <c r="G38" i="1"/>
  <c r="I38" i="1" s="1"/>
  <c r="J38" i="1" s="1"/>
  <c r="W16" i="8" l="1"/>
  <c r="W26" i="8"/>
  <c r="W21" i="8"/>
  <c r="G12" i="1"/>
  <c r="G13" i="1"/>
  <c r="G14" i="1"/>
  <c r="G15" i="1"/>
  <c r="G16" i="1"/>
  <c r="G17" i="1"/>
  <c r="G18" i="1"/>
  <c r="G20" i="1"/>
  <c r="G11" i="1"/>
  <c r="W10" i="8" l="1"/>
  <c r="P20" i="8"/>
  <c r="P15" i="8"/>
  <c r="P25" i="8" s="1"/>
  <c r="R20" i="8"/>
  <c r="R15" i="8"/>
  <c r="R25" i="8" s="1"/>
  <c r="M15" i="8"/>
  <c r="M25" i="8" s="1"/>
  <c r="M20" i="8"/>
  <c r="S15" i="8"/>
  <c r="S25" i="8" s="1"/>
  <c r="S20" i="8"/>
  <c r="N15" i="8"/>
  <c r="N25" i="8" s="1"/>
  <c r="N20" i="8"/>
  <c r="V15" i="8"/>
  <c r="V25" i="8" s="1"/>
  <c r="V20" i="8"/>
  <c r="T15" i="8"/>
  <c r="T25" i="8" s="1"/>
  <c r="T20" i="8"/>
  <c r="O20" i="8"/>
  <c r="O15" i="8"/>
  <c r="O25" i="8" s="1"/>
  <c r="Q20" i="8"/>
  <c r="Q15" i="8"/>
  <c r="Q25" i="8" s="1"/>
  <c r="W15" i="8" l="1"/>
  <c r="W25" i="8" s="1"/>
  <c r="W20" i="8"/>
  <c r="H55" i="1"/>
  <c r="F19" i="8" s="1"/>
  <c r="G30" i="1"/>
  <c r="I14" i="1"/>
  <c r="J14" i="1" s="1"/>
  <c r="F47" i="1" l="1"/>
  <c r="D10" i="8" s="1"/>
  <c r="I30" i="1"/>
  <c r="J30" i="1" l="1"/>
  <c r="H47" i="1" s="1"/>
  <c r="F10" i="8" s="1"/>
  <c r="G28" i="1"/>
  <c r="G29" i="1"/>
  <c r="G31" i="1"/>
  <c r="G32" i="1"/>
  <c r="G33" i="1"/>
  <c r="G34" i="1"/>
  <c r="G36" i="1"/>
  <c r="G27" i="1"/>
  <c r="I12" i="1"/>
  <c r="J12" i="1" s="1"/>
  <c r="I13" i="1"/>
  <c r="J13" i="1" s="1"/>
  <c r="I15" i="1"/>
  <c r="J15" i="1" s="1"/>
  <c r="I16" i="1"/>
  <c r="J16" i="1" s="1"/>
  <c r="I17" i="1"/>
  <c r="J17" i="1" s="1"/>
  <c r="I18" i="1"/>
  <c r="J18" i="1" s="1"/>
  <c r="I20" i="1"/>
  <c r="J20" i="1" s="1"/>
  <c r="I11" i="1"/>
  <c r="J11" i="1" s="1"/>
  <c r="I47" i="1" l="1"/>
  <c r="G10" i="8" s="1"/>
  <c r="P12" i="8" s="1"/>
  <c r="F45" i="1"/>
  <c r="D8" i="8" s="1"/>
  <c r="F53" i="1"/>
  <c r="D16" i="8" s="1"/>
  <c r="F48" i="1"/>
  <c r="D11" i="8" s="1"/>
  <c r="F44" i="1"/>
  <c r="D7" i="8" s="1"/>
  <c r="F51" i="1"/>
  <c r="D14" i="8" s="1"/>
  <c r="I36" i="1"/>
  <c r="I32" i="1"/>
  <c r="I31" i="1"/>
  <c r="I29" i="1"/>
  <c r="I28" i="1"/>
  <c r="I27" i="1"/>
  <c r="J27" i="1" s="1"/>
  <c r="H44" i="1" s="1"/>
  <c r="F7" i="8" s="1"/>
  <c r="I33" i="1"/>
  <c r="I34" i="1"/>
  <c r="F50" i="1"/>
  <c r="D13" i="8" s="1"/>
  <c r="F49" i="1"/>
  <c r="D12" i="8" s="1"/>
  <c r="F46" i="1"/>
  <c r="D9" i="8" s="1"/>
  <c r="D17" i="8" l="1"/>
  <c r="P22" i="8"/>
  <c r="P17" i="8"/>
  <c r="P27" i="8" s="1"/>
  <c r="J31" i="1"/>
  <c r="H48" i="1" s="1"/>
  <c r="F11" i="8" s="1"/>
  <c r="J32" i="1"/>
  <c r="H49" i="1" s="1"/>
  <c r="F12" i="8" s="1"/>
  <c r="J34" i="1"/>
  <c r="H51" i="1" s="1"/>
  <c r="F14" i="8" s="1"/>
  <c r="J33" i="1"/>
  <c r="H50" i="1" s="1"/>
  <c r="F13" i="8" s="1"/>
  <c r="J36" i="1"/>
  <c r="H53" i="1" s="1"/>
  <c r="F16" i="8" s="1"/>
  <c r="J28" i="1"/>
  <c r="H45" i="1" s="1"/>
  <c r="F8" i="8" s="1"/>
  <c r="J29" i="1"/>
  <c r="H46" i="1" s="1"/>
  <c r="F9" i="8" s="1"/>
  <c r="I44" i="1"/>
  <c r="G7" i="8" s="1"/>
  <c r="M12" i="8" s="1"/>
  <c r="F17" i="8" l="1"/>
  <c r="M17" i="8"/>
  <c r="M27" i="8" s="1"/>
  <c r="I45" i="1"/>
  <c r="G8" i="8" s="1"/>
  <c r="N12" i="8" s="1"/>
  <c r="I51" i="1"/>
  <c r="G14" i="8" s="1"/>
  <c r="T12" i="8" s="1"/>
  <c r="I53" i="1"/>
  <c r="I49" i="1"/>
  <c r="G12" i="8" s="1"/>
  <c r="R12" i="8" s="1"/>
  <c r="I46" i="1"/>
  <c r="G9" i="8" s="1"/>
  <c r="O12" i="8" s="1"/>
  <c r="I48" i="1"/>
  <c r="G11" i="8" s="1"/>
  <c r="Q12" i="8" s="1"/>
  <c r="I50" i="1"/>
  <c r="G13" i="8" s="1"/>
  <c r="S12" i="8" s="1"/>
  <c r="G16" i="8" l="1"/>
  <c r="V12" i="8" s="1"/>
  <c r="M22" i="8"/>
  <c r="R17" i="8"/>
  <c r="R27" i="8" s="1"/>
  <c r="R22" i="8"/>
  <c r="N17" i="8"/>
  <c r="N27" i="8" s="1"/>
  <c r="N22" i="8"/>
  <c r="Q22" i="8"/>
  <c r="Q17" i="8"/>
  <c r="Q27" i="8" s="1"/>
  <c r="O17" i="8"/>
  <c r="O27" i="8" s="1"/>
  <c r="O22" i="8"/>
  <c r="T17" i="8"/>
  <c r="T27" i="8" s="1"/>
  <c r="T22" i="8"/>
  <c r="S17" i="8"/>
  <c r="S27" i="8" s="1"/>
  <c r="S22" i="8"/>
  <c r="I55" i="1"/>
  <c r="G19" i="8" s="1"/>
  <c r="X12" i="8" s="1"/>
  <c r="G17" i="8" l="1"/>
  <c r="V22" i="8"/>
  <c r="W12" i="8"/>
  <c r="W22" i="8" s="1"/>
  <c r="V17" i="8"/>
  <c r="V27" i="8" s="1"/>
  <c r="X22" i="8"/>
  <c r="X27" i="8"/>
  <c r="X17" i="8"/>
  <c r="W17" i="8" l="1"/>
  <c r="W27" i="8" s="1"/>
</calcChain>
</file>

<file path=xl/sharedStrings.xml><?xml version="1.0" encoding="utf-8"?>
<sst xmlns="http://schemas.openxmlformats.org/spreadsheetml/2006/main" count="1361" uniqueCount="152">
  <si>
    <t>Calculation of Consumptive Water Use Per DGWPE Well Served Single Residential Lot</t>
  </si>
  <si>
    <t>Indoor Consumptive Use</t>
  </si>
  <si>
    <t>Average People Per Home</t>
  </si>
  <si>
    <t>A</t>
  </si>
  <si>
    <t>B</t>
  </si>
  <si>
    <t xml:space="preserve">C </t>
  </si>
  <si>
    <t>D</t>
  </si>
  <si>
    <t>E</t>
  </si>
  <si>
    <t>F</t>
  </si>
  <si>
    <t>Background Calculations</t>
  </si>
  <si>
    <t>C = A*B</t>
  </si>
  <si>
    <t>E = C*D</t>
  </si>
  <si>
    <t>Per Capita Water Use 
(gpd)</t>
  </si>
  <si>
    <t>Indoor Consumptive Use 
(%)</t>
  </si>
  <si>
    <t>Per Home Indoor Consumptive Use 
(gpd)</t>
  </si>
  <si>
    <t>Per Home Indoor Consumptive Use 
(af/yr)</t>
  </si>
  <si>
    <t>Application Efficiency 
(%)</t>
  </si>
  <si>
    <t>Total Consumptive Water Use (af/yr)</t>
  </si>
  <si>
    <t># PE Wells Anticipated in Subbasin</t>
  </si>
  <si>
    <t>Indoor</t>
  </si>
  <si>
    <t>Outdoor</t>
  </si>
  <si>
    <t>Avg. People Per Home</t>
  </si>
  <si>
    <t>Suggested Value</t>
  </si>
  <si>
    <t>Source</t>
  </si>
  <si>
    <t>Per Capita Water Use (gpd)</t>
  </si>
  <si>
    <t>Consumptive Use (%)</t>
  </si>
  <si>
    <t>Application Efficiency (%)</t>
  </si>
  <si>
    <t>Indoor Consumptive Water Use (af/yr)</t>
  </si>
  <si>
    <t>Dept. of Ecology Recommendation</t>
  </si>
  <si>
    <t>G</t>
  </si>
  <si>
    <t>H</t>
  </si>
  <si>
    <t>I</t>
  </si>
  <si>
    <t>J</t>
  </si>
  <si>
    <t>K</t>
  </si>
  <si>
    <t>L</t>
  </si>
  <si>
    <t>I = G/H</t>
  </si>
  <si>
    <t>K = I*J</t>
  </si>
  <si>
    <t>M</t>
  </si>
  <si>
    <t>N</t>
  </si>
  <si>
    <t>Q</t>
  </si>
  <si>
    <t>O</t>
  </si>
  <si>
    <t>P</t>
  </si>
  <si>
    <t>N = M*F</t>
  </si>
  <si>
    <t>P = O*M*L</t>
  </si>
  <si>
    <t>Q = N+P</t>
  </si>
  <si>
    <t xml:space="preserve">Annual Consumptive Use </t>
  </si>
  <si>
    <t>Total Consumptive Water Use (GPD)</t>
  </si>
  <si>
    <t>Total Consumptive Water Use (CFS)</t>
  </si>
  <si>
    <t>Default/Standard Values</t>
  </si>
  <si>
    <t>Irrigated Area per Well (ac)</t>
  </si>
  <si>
    <t>varies</t>
  </si>
  <si>
    <t>Irrigated Footprint Analysis Results</t>
  </si>
  <si>
    <t>Subbasin</t>
  </si>
  <si>
    <t>Avg. Irrigated Area (ac)</t>
  </si>
  <si>
    <t>Washington Irrigation Guide, Appendix A</t>
  </si>
  <si>
    <t>Crop Irrigation Requirements</t>
  </si>
  <si>
    <t>Turf/Lawn CIR Annual (in)</t>
  </si>
  <si>
    <t>Annual Crop Irrigation Requirement (CIR) (in)</t>
  </si>
  <si>
    <t>Irrigation Requirements</t>
  </si>
  <si>
    <t>Irrigation Consumptive Use 
(%)</t>
  </si>
  <si>
    <t>Max Water Supply (gpd)</t>
  </si>
  <si>
    <t>Indoor Use (gpd)</t>
  </si>
  <si>
    <t>Water for Outdoor Use (gpd)</t>
  </si>
  <si>
    <t>Water for Outdoor Use (af/yr)</t>
  </si>
  <si>
    <t>Max Irrigated Area (ac)</t>
  </si>
  <si>
    <t>Scenario Irrigated Area (ac)</t>
  </si>
  <si>
    <t>Outdoor Consumptive Use per Well</t>
  </si>
  <si>
    <t>Indoor Consumptive Use Per Well</t>
  </si>
  <si>
    <t>Outdoor Consumptive Use (af/yr)</t>
  </si>
  <si>
    <t>Outdoor Consumptive Use (gpd)</t>
  </si>
  <si>
    <t xml:space="preserve">1 af/yr = </t>
  </si>
  <si>
    <t>gpd</t>
  </si>
  <si>
    <t>cfs</t>
  </si>
  <si>
    <t>County growth projections - rural household</t>
  </si>
  <si>
    <t>Scenario 1</t>
  </si>
  <si>
    <r>
      <t xml:space="preserve">Total Consumptive Water Use </t>
    </r>
    <r>
      <rPr>
        <b/>
        <u/>
        <sz val="11"/>
        <color theme="1"/>
        <rFont val="Calibri"/>
        <family val="2"/>
        <scheme val="minor"/>
      </rPr>
      <t xml:space="preserve">Per Home </t>
    </r>
    <r>
      <rPr>
        <b/>
        <sz val="11"/>
        <color theme="1"/>
        <rFont val="Calibri"/>
        <family val="2"/>
        <scheme val="minor"/>
      </rPr>
      <t xml:space="preserve">
(GPD)</t>
    </r>
  </si>
  <si>
    <t>Scenario 2</t>
  </si>
  <si>
    <t>Scenario 3</t>
  </si>
  <si>
    <t>1 home + subbasin average yard</t>
  </si>
  <si>
    <t>1 home + 1/2 acre yard</t>
  </si>
  <si>
    <t>Calculated Per Home Indoor Use 
(gpd)</t>
  </si>
  <si>
    <t>Outdoor Consumptive Water Use (af/yr)</t>
  </si>
  <si>
    <t>950 gpd</t>
  </si>
  <si>
    <t>Active Scenario - Variable Supply</t>
  </si>
  <si>
    <t>Crop Irrigation Reqmt (CIR) (lawn) (in)</t>
  </si>
  <si>
    <t>Total Annual Irrigation Use
(in)</t>
  </si>
  <si>
    <t>Consumptive Irrigation Use by Subbasin 
(in)</t>
  </si>
  <si>
    <t>Consumptive Irrigation Use by Subbasin 
(ft)</t>
  </si>
  <si>
    <t>Summer Period (June-August)</t>
  </si>
  <si>
    <t>Annual</t>
  </si>
  <si>
    <t>Per Home Indoor Consumptive Use 
(af/period)</t>
  </si>
  <si>
    <t>Indoor Consumptive Water Use (af/period)</t>
  </si>
  <si>
    <t>Total Consumptive Water Use (af/period)</t>
  </si>
  <si>
    <t>SUMMARY - Total Consumptive Water Use - Summer</t>
  </si>
  <si>
    <t xml:space="preserve">1 af/period = </t>
  </si>
  <si>
    <t>Unit Conversions - Annual</t>
  </si>
  <si>
    <t>Outdoor Consumptive Use (af/period)</t>
  </si>
  <si>
    <t>Summer Crop Irrigation Requirement (CIR) (in)</t>
  </si>
  <si>
    <t>Total Summer Irrigation Use
(in)</t>
  </si>
  <si>
    <t>Total Summer Irrigation Use
(ft)</t>
  </si>
  <si>
    <t xml:space="preserve">Summer Consumptive Use </t>
  </si>
  <si>
    <t>SUMMARY - Total Consumptive Water Use - Annual</t>
  </si>
  <si>
    <t>Unit Conversions - Summer (JJA)</t>
  </si>
  <si>
    <t>Protected sheet password:</t>
  </si>
  <si>
    <t>ECYwria</t>
  </si>
  <si>
    <t>Subbasin ID</t>
  </si>
  <si>
    <t>Outdoor Consumptive Water Use 
(af/period)</t>
  </si>
  <si>
    <t xml:space="preserve">This is a protected sheet. The password to unlock the sheet is located on the information sheet. </t>
  </si>
  <si>
    <t xml:space="preserve">Green cells are populated with input values for this scenario. Annual Consumptive Use results for this scenario are  populated on the "SUMMARY Annual" sheet. </t>
  </si>
  <si>
    <t xml:space="preserve">Green cells are populated with input values for this scenario. Summer Consumptive Use results for this scenario are populated on the "SUMMARY Summer" sheet. </t>
  </si>
  <si>
    <t xml:space="preserve">Green cells are populated with input values for this scenario. Summer Consumptive Use results for this scenario are  populated on the "SUMMARY Summer" sheet. </t>
  </si>
  <si>
    <t>Results from this calculator do not automatically populate to SUMMARY sheets.</t>
  </si>
  <si>
    <t xml:space="preserve">Summer Consumptive Use results will automatically populate as the Active Scenario on the "SUMMARY Summer" sheet. </t>
  </si>
  <si>
    <t xml:space="preserve">Annual Consumptive Use results will automatically populate as the Active Scenario on the "SUMMARY Annual" sheet. </t>
  </si>
  <si>
    <t>Total Annual Irrigation Use
(ft)</t>
  </si>
  <si>
    <t>Scenario 4</t>
  </si>
  <si>
    <t>WRIA Average</t>
  </si>
  <si>
    <t>Projected PE Well Connections</t>
  </si>
  <si>
    <t>Consumptive Irrigation Use
(ft)</t>
  </si>
  <si>
    <t>Consumptive Irrigation Use
(in)</t>
  </si>
  <si>
    <t># Projected PE Wells (Base)</t>
  </si>
  <si>
    <t>WRIA Level Analysis</t>
  </si>
  <si>
    <r>
      <rPr>
        <b/>
        <i/>
        <u/>
        <sz val="11"/>
        <color rgb="FFFF0000"/>
        <rFont val="Calibri"/>
        <family val="2"/>
        <scheme val="minor"/>
      </rPr>
      <t>Instructions</t>
    </r>
    <r>
      <rPr>
        <b/>
        <i/>
        <sz val="11"/>
        <color rgb="FFFF0000"/>
        <rFont val="Calibri"/>
        <family val="2"/>
        <scheme val="minor"/>
      </rPr>
      <t xml:space="preserve"> - Populate green cells with appropriate values; default values are shown on the "Information" sheet. Enter values for individual subbasins OR for the overall WRIA. (If both are entered, subbasin-aggregated results may vary from WRIA-level results.)</t>
    </r>
  </si>
  <si>
    <t>Annual Consumptive Use - Summary of Scenarios</t>
  </si>
  <si>
    <t>Summer Consumptive Use - Summary of Scenarios</t>
  </si>
  <si>
    <t>** This sheet requires no editing. Make changes in calculator sheets.</t>
  </si>
  <si>
    <t>varies; see below</t>
  </si>
  <si>
    <t>Avg. People/Home Calculation (weighted based on # wells per county)</t>
  </si>
  <si>
    <t>% King Co</t>
  </si>
  <si>
    <t>% Snohomish Co</t>
  </si>
  <si>
    <t>King Co 
# ppl per home</t>
  </si>
  <si>
    <t>Snohomish Co # ppl per home</t>
  </si>
  <si>
    <t>Calculated # ppl per home</t>
  </si>
  <si>
    <t>PS Shorelines</t>
  </si>
  <si>
    <t>Swamp/North</t>
  </si>
  <si>
    <t>Little Bear</t>
  </si>
  <si>
    <t>Sammamish River Valley</t>
  </si>
  <si>
    <t>Bear/Evans</t>
  </si>
  <si>
    <t>Greater Lake Washington</t>
  </si>
  <si>
    <t>May/Coal</t>
  </si>
  <si>
    <t>Lake Sammamish Creeks</t>
  </si>
  <si>
    <t>Issaquah</t>
  </si>
  <si>
    <t>Lower Cedar</t>
  </si>
  <si>
    <t>WRIA 8</t>
  </si>
  <si>
    <t>WRIA 8 OVERALL</t>
  </si>
  <si>
    <t>WRIA 8 Aggregated</t>
  </si>
  <si>
    <t>WRIA 8 Overall</t>
  </si>
  <si>
    <t>WRIA aggregated values are calculated as sum or average (as approprate) of subbasin values. WRIA overall values come from calculator sheets with WRIA level analysis.</t>
  </si>
  <si>
    <t>Snohomish PUD Use (370 gpd)</t>
  </si>
  <si>
    <t>Snohomish PUD Use (235 gpd)</t>
  </si>
  <si>
    <t>Unit Conversions - Summer (June/July/August)</t>
  </si>
  <si>
    <t>Turf/Lawn CIR Jun/Jul/Aug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</si>
</sst>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"/>
    <numFmt numFmtId="166" formatCode="0.000"/>
    <numFmt numFmtId="167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5B9BD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Fill="1" applyBorder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3" fillId="2" borderId="12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7" fillId="3" borderId="3" xfId="0" applyFont="1" applyFill="1" applyBorder="1"/>
    <xf numFmtId="0" fontId="4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0" fillId="0" borderId="19" xfId="0" quotePrefix="1" applyFill="1" applyBorder="1"/>
    <xf numFmtId="0" fontId="0" fillId="0" borderId="0" xfId="0"/>
    <xf numFmtId="0" fontId="8" fillId="0" borderId="0" xfId="0" applyFont="1" applyBorder="1" applyAlignment="1"/>
    <xf numFmtId="0" fontId="3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3" fillId="2" borderId="13" xfId="0" applyFont="1" applyFill="1" applyBorder="1" applyAlignment="1">
      <alignment horizontal="center" wrapText="1"/>
    </xf>
    <xf numFmtId="164" fontId="12" fillId="5" borderId="1" xfId="0" applyNumberFormat="1" applyFont="1" applyFill="1" applyBorder="1"/>
    <xf numFmtId="164" fontId="12" fillId="5" borderId="9" xfId="0" applyNumberFormat="1" applyFont="1" applyFill="1" applyBorder="1"/>
    <xf numFmtId="2" fontId="12" fillId="5" borderId="1" xfId="0" applyNumberFormat="1" applyFont="1" applyFill="1" applyBorder="1"/>
    <xf numFmtId="164" fontId="12" fillId="5" borderId="7" xfId="0" applyNumberFormat="1" applyFont="1" applyFill="1" applyBorder="1"/>
    <xf numFmtId="2" fontId="12" fillId="5" borderId="9" xfId="0" applyNumberFormat="1" applyFont="1" applyFill="1" applyBorder="1"/>
    <xf numFmtId="164" fontId="12" fillId="5" borderId="10" xfId="0" applyNumberFormat="1" applyFont="1" applyFill="1" applyBorder="1"/>
    <xf numFmtId="164" fontId="12" fillId="5" borderId="6" xfId="0" applyNumberFormat="1" applyFont="1" applyFill="1" applyBorder="1"/>
    <xf numFmtId="164" fontId="12" fillId="5" borderId="8" xfId="0" applyNumberFormat="1" applyFont="1" applyFill="1" applyBorder="1"/>
    <xf numFmtId="2" fontId="12" fillId="5" borderId="7" xfId="0" applyNumberFormat="1" applyFont="1" applyFill="1" applyBorder="1"/>
    <xf numFmtId="2" fontId="12" fillId="5" borderId="10" xfId="0" applyNumberFormat="1" applyFont="1" applyFill="1" applyBorder="1"/>
    <xf numFmtId="2" fontId="0" fillId="0" borderId="0" xfId="0" applyNumberFormat="1"/>
    <xf numFmtId="0" fontId="9" fillId="0" borderId="0" xfId="0" applyFont="1" applyFill="1" applyBorder="1" applyAlignment="1">
      <alignment vertical="center" wrapText="1"/>
    </xf>
    <xf numFmtId="2" fontId="12" fillId="8" borderId="1" xfId="0" applyNumberFormat="1" applyFont="1" applyFill="1" applyBorder="1"/>
    <xf numFmtId="2" fontId="12" fillId="8" borderId="7" xfId="0" applyNumberFormat="1" applyFont="1" applyFill="1" applyBorder="1"/>
    <xf numFmtId="0" fontId="13" fillId="9" borderId="25" xfId="0" applyFont="1" applyFill="1" applyBorder="1" applyAlignment="1">
      <alignment horizontal="center"/>
    </xf>
    <xf numFmtId="0" fontId="14" fillId="9" borderId="25" xfId="0" applyFont="1" applyFill="1" applyBorder="1"/>
    <xf numFmtId="0" fontId="0" fillId="0" borderId="17" xfId="0" applyBorder="1"/>
    <xf numFmtId="0" fontId="0" fillId="0" borderId="9" xfId="0" applyBorder="1"/>
    <xf numFmtId="2" fontId="12" fillId="8" borderId="17" xfId="0" applyNumberFormat="1" applyFont="1" applyFill="1" applyBorder="1"/>
    <xf numFmtId="2" fontId="12" fillId="8" borderId="12" xfId="0" applyNumberFormat="1" applyFont="1" applyFill="1" applyBorder="1"/>
    <xf numFmtId="2" fontId="12" fillId="8" borderId="9" xfId="0" applyNumberFormat="1" applyFont="1" applyFill="1" applyBorder="1"/>
    <xf numFmtId="2" fontId="12" fillId="8" borderId="10" xfId="0" applyNumberFormat="1" applyFont="1" applyFill="1" applyBorder="1"/>
    <xf numFmtId="1" fontId="0" fillId="11" borderId="17" xfId="0" applyNumberFormat="1" applyFill="1" applyBorder="1"/>
    <xf numFmtId="1" fontId="0" fillId="11" borderId="12" xfId="0" applyNumberFormat="1" applyFill="1" applyBorder="1"/>
    <xf numFmtId="1" fontId="0" fillId="11" borderId="1" xfId="0" applyNumberFormat="1" applyFill="1" applyBorder="1"/>
    <xf numFmtId="1" fontId="0" fillId="11" borderId="7" xfId="0" applyNumberFormat="1" applyFill="1" applyBorder="1"/>
    <xf numFmtId="0" fontId="0" fillId="12" borderId="2" xfId="0" applyFill="1" applyBorder="1"/>
    <xf numFmtId="0" fontId="0" fillId="12" borderId="1" xfId="1" applyNumberFormat="1" applyFont="1" applyFill="1" applyBorder="1"/>
    <xf numFmtId="0" fontId="0" fillId="12" borderId="18" xfId="0" applyFill="1" applyBorder="1"/>
    <xf numFmtId="0" fontId="0" fillId="12" borderId="9" xfId="1" applyNumberFormat="1" applyFont="1" applyFill="1" applyBorder="1"/>
    <xf numFmtId="9" fontId="0" fillId="12" borderId="1" xfId="1" applyFont="1" applyFill="1" applyBorder="1"/>
    <xf numFmtId="9" fontId="0" fillId="12" borderId="9" xfId="1" applyFont="1" applyFill="1" applyBorder="1"/>
    <xf numFmtId="0" fontId="0" fillId="12" borderId="14" xfId="0" applyFill="1" applyBorder="1"/>
    <xf numFmtId="0" fontId="0" fillId="12" borderId="15" xfId="0" applyFill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12" borderId="15" xfId="0" applyFont="1" applyFill="1" applyBorder="1"/>
    <xf numFmtId="164" fontId="9" fillId="5" borderId="8" xfId="0" applyNumberFormat="1" applyFont="1" applyFill="1" applyBorder="1"/>
    <xf numFmtId="164" fontId="9" fillId="5" borderId="9" xfId="0" applyNumberFormat="1" applyFont="1" applyFill="1" applyBorder="1"/>
    <xf numFmtId="164" fontId="9" fillId="5" borderId="10" xfId="0" applyNumberFormat="1" applyFont="1" applyFill="1" applyBorder="1"/>
    <xf numFmtId="0" fontId="3" fillId="10" borderId="1" xfId="0" applyFont="1" applyFill="1" applyBorder="1" applyAlignment="1">
      <alignment horizontal="center" textRotation="45"/>
    </xf>
    <xf numFmtId="165" fontId="12" fillId="6" borderId="17" xfId="0" applyNumberFormat="1" applyFont="1" applyFill="1" applyBorder="1"/>
    <xf numFmtId="165" fontId="12" fillId="6" borderId="12" xfId="0" applyNumberFormat="1" applyFont="1" applyFill="1" applyBorder="1"/>
    <xf numFmtId="165" fontId="12" fillId="6" borderId="1" xfId="0" applyNumberFormat="1" applyFont="1" applyFill="1" applyBorder="1"/>
    <xf numFmtId="165" fontId="12" fillId="6" borderId="7" xfId="0" applyNumberFormat="1" applyFon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0" fontId="14" fillId="9" borderId="29" xfId="0" applyFont="1" applyFill="1" applyBorder="1"/>
    <xf numFmtId="0" fontId="14" fillId="9" borderId="15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/>
    <xf numFmtId="0" fontId="3" fillId="0" borderId="0" xfId="0" applyFont="1"/>
    <xf numFmtId="0" fontId="6" fillId="2" borderId="6" xfId="0" applyFont="1" applyFill="1" applyBorder="1"/>
    <xf numFmtId="0" fontId="3" fillId="0" borderId="10" xfId="0" applyFont="1" applyBorder="1"/>
    <xf numFmtId="0" fontId="3" fillId="12" borderId="0" xfId="0" applyFont="1" applyFill="1" applyBorder="1"/>
    <xf numFmtId="0" fontId="3" fillId="12" borderId="18" xfId="0" applyFont="1" applyFill="1" applyBorder="1"/>
    <xf numFmtId="9" fontId="3" fillId="12" borderId="9" xfId="1" applyFont="1" applyFill="1" applyBorder="1"/>
    <xf numFmtId="2" fontId="3" fillId="12" borderId="9" xfId="0" applyNumberFormat="1" applyFont="1" applyFill="1" applyBorder="1"/>
    <xf numFmtId="2" fontId="0" fillId="13" borderId="1" xfId="1" applyNumberFormat="1" applyFont="1" applyFill="1" applyBorder="1"/>
    <xf numFmtId="2" fontId="0" fillId="13" borderId="9" xfId="1" applyNumberFormat="1" applyFont="1" applyFill="1" applyBorder="1"/>
    <xf numFmtId="166" fontId="0" fillId="13" borderId="1" xfId="1" applyNumberFormat="1" applyFont="1" applyFill="1" applyBorder="1"/>
    <xf numFmtId="166" fontId="0" fillId="13" borderId="9" xfId="1" applyNumberFormat="1" applyFont="1" applyFill="1" applyBorder="1"/>
    <xf numFmtId="166" fontId="0" fillId="12" borderId="31" xfId="0" applyNumberFormat="1" applyFill="1" applyBorder="1"/>
    <xf numFmtId="166" fontId="0" fillId="12" borderId="32" xfId="0" applyNumberFormat="1" applyFill="1" applyBorder="1"/>
    <xf numFmtId="0" fontId="3" fillId="2" borderId="30" xfId="0" applyFont="1" applyFill="1" applyBorder="1" applyAlignment="1">
      <alignment horizontal="center" wrapText="1"/>
    </xf>
    <xf numFmtId="164" fontId="0" fillId="13" borderId="31" xfId="1" applyNumberFormat="1" applyFont="1" applyFill="1" applyBorder="1"/>
    <xf numFmtId="164" fontId="0" fillId="13" borderId="32" xfId="1" applyNumberFormat="1" applyFont="1" applyFill="1" applyBorder="1"/>
    <xf numFmtId="2" fontId="3" fillId="0" borderId="10" xfId="0" applyNumberFormat="1" applyFont="1" applyBorder="1"/>
    <xf numFmtId="2" fontId="0" fillId="0" borderId="7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23" xfId="0" applyFont="1" applyBorder="1" applyAlignment="1">
      <alignment horizontal="center"/>
    </xf>
    <xf numFmtId="164" fontId="0" fillId="0" borderId="0" xfId="0" applyNumberFormat="1"/>
    <xf numFmtId="0" fontId="9" fillId="0" borderId="24" xfId="0" applyFont="1" applyBorder="1" applyAlignment="1">
      <alignment vertical="center" wrapText="1"/>
    </xf>
    <xf numFmtId="0" fontId="6" fillId="0" borderId="0" xfId="0" applyFont="1"/>
    <xf numFmtId="2" fontId="0" fillId="12" borderId="1" xfId="0" applyNumberFormat="1" applyFill="1" applyBorder="1"/>
    <xf numFmtId="0" fontId="15" fillId="0" borderId="0" xfId="0" applyFont="1"/>
    <xf numFmtId="0" fontId="17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14" xfId="0" applyFill="1" applyBorder="1"/>
    <xf numFmtId="0" fontId="0" fillId="0" borderId="1" xfId="0" applyFill="1" applyBorder="1"/>
    <xf numFmtId="0" fontId="0" fillId="0" borderId="15" xfId="0" applyFill="1" applyBorder="1"/>
    <xf numFmtId="0" fontId="0" fillId="0" borderId="9" xfId="0" applyFill="1" applyBorder="1"/>
    <xf numFmtId="2" fontId="0" fillId="0" borderId="1" xfId="0" applyNumberFormat="1" applyFill="1" applyBorder="1"/>
    <xf numFmtId="164" fontId="12" fillId="13" borderId="8" xfId="0" applyNumberFormat="1" applyFont="1" applyFill="1" applyBorder="1"/>
    <xf numFmtId="2" fontId="12" fillId="5" borderId="33" xfId="0" applyNumberFormat="1" applyFont="1" applyFill="1" applyBorder="1"/>
    <xf numFmtId="2" fontId="12" fillId="13" borderId="34" xfId="0" applyNumberFormat="1" applyFont="1" applyFill="1" applyBorder="1"/>
    <xf numFmtId="2" fontId="0" fillId="12" borderId="9" xfId="0" applyNumberFormat="1" applyFill="1" applyBorder="1"/>
    <xf numFmtId="164" fontId="0" fillId="13" borderId="31" xfId="0" applyNumberFormat="1" applyFill="1" applyBorder="1"/>
    <xf numFmtId="164" fontId="0" fillId="13" borderId="32" xfId="0" applyNumberFormat="1" applyFill="1" applyBorder="1"/>
    <xf numFmtId="2" fontId="0" fillId="0" borderId="9" xfId="0" applyNumberFormat="1" applyFill="1" applyBorder="1"/>
    <xf numFmtId="0" fontId="0" fillId="0" borderId="0" xfId="0" applyBorder="1" applyAlignment="1">
      <alignment horizontal="center"/>
    </xf>
    <xf numFmtId="165" fontId="12" fillId="0" borderId="6" xfId="0" applyNumberFormat="1" applyFont="1" applyFill="1" applyBorder="1"/>
    <xf numFmtId="165" fontId="12" fillId="0" borderId="8" xfId="0" applyNumberFormat="1" applyFont="1" applyFill="1" applyBorder="1"/>
    <xf numFmtId="165" fontId="12" fillId="0" borderId="1" xfId="0" applyNumberFormat="1" applyFont="1" applyFill="1" applyBorder="1"/>
    <xf numFmtId="165" fontId="12" fillId="0" borderId="9" xfId="0" applyNumberFormat="1" applyFont="1" applyFill="1" applyBorder="1"/>
    <xf numFmtId="165" fontId="9" fillId="0" borderId="10" xfId="0" applyNumberFormat="1" applyFont="1" applyFill="1" applyBorder="1"/>
    <xf numFmtId="165" fontId="9" fillId="0" borderId="7" xfId="0" applyNumberFormat="1" applyFont="1" applyFill="1" applyBorder="1"/>
    <xf numFmtId="0" fontId="18" fillId="0" borderId="0" xfId="0" applyFont="1"/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2" fontId="0" fillId="13" borderId="2" xfId="0" applyNumberFormat="1" applyFill="1" applyBorder="1"/>
    <xf numFmtId="2" fontId="0" fillId="13" borderId="18" xfId="0" applyNumberFormat="1" applyFill="1" applyBorder="1"/>
    <xf numFmtId="0" fontId="0" fillId="0" borderId="25" xfId="0" applyBorder="1"/>
    <xf numFmtId="0" fontId="0" fillId="0" borderId="38" xfId="0" applyBorder="1"/>
    <xf numFmtId="1" fontId="0" fillId="11" borderId="38" xfId="0" applyNumberFormat="1" applyFill="1" applyBorder="1"/>
    <xf numFmtId="1" fontId="0" fillId="11" borderId="39" xfId="0" applyNumberFormat="1" applyFill="1" applyBorder="1"/>
    <xf numFmtId="165" fontId="12" fillId="6" borderId="25" xfId="0" applyNumberFormat="1" applyFont="1" applyFill="1" applyBorder="1"/>
    <xf numFmtId="165" fontId="12" fillId="6" borderId="37" xfId="0" applyNumberFormat="1" applyFont="1" applyFill="1" applyBorder="1"/>
    <xf numFmtId="2" fontId="12" fillId="8" borderId="25" xfId="0" applyNumberFormat="1" applyFont="1" applyFill="1" applyBorder="1"/>
    <xf numFmtId="2" fontId="12" fillId="8" borderId="37" xfId="0" applyNumberFormat="1" applyFont="1" applyFill="1" applyBorder="1"/>
    <xf numFmtId="2" fontId="0" fillId="12" borderId="31" xfId="0" applyNumberFormat="1" applyFill="1" applyBorder="1"/>
    <xf numFmtId="2" fontId="0" fillId="12" borderId="32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1" applyNumberFormat="1" applyFont="1" applyFill="1" applyBorder="1"/>
    <xf numFmtId="164" fontId="9" fillId="0" borderId="0" xfId="0" applyNumberFormat="1" applyFont="1" applyFill="1" applyBorder="1"/>
    <xf numFmtId="9" fontId="3" fillId="0" borderId="0" xfId="1" applyFont="1" applyFill="1" applyBorder="1"/>
    <xf numFmtId="2" fontId="9" fillId="0" borderId="0" xfId="0" applyNumberFormat="1" applyFont="1" applyFill="1" applyBorder="1"/>
    <xf numFmtId="0" fontId="3" fillId="0" borderId="40" xfId="0" applyFont="1" applyBorder="1"/>
    <xf numFmtId="0" fontId="3" fillId="12" borderId="41" xfId="0" applyFont="1" applyFill="1" applyBorder="1"/>
    <xf numFmtId="0" fontId="3" fillId="12" borderId="42" xfId="1" applyNumberFormat="1" applyFont="1" applyFill="1" applyBorder="1"/>
    <xf numFmtId="164" fontId="9" fillId="5" borderId="42" xfId="0" applyNumberFormat="1" applyFont="1" applyFill="1" applyBorder="1"/>
    <xf numFmtId="9" fontId="3" fillId="12" borderId="42" xfId="1" applyFont="1" applyFill="1" applyBorder="1"/>
    <xf numFmtId="2" fontId="9" fillId="5" borderId="42" xfId="0" applyNumberFormat="1" applyFont="1" applyFill="1" applyBorder="1"/>
    <xf numFmtId="164" fontId="9" fillId="5" borderId="43" xfId="0" applyNumberFormat="1" applyFont="1" applyFill="1" applyBorder="1"/>
    <xf numFmtId="0" fontId="0" fillId="0" borderId="44" xfId="0" applyFill="1" applyBorder="1"/>
    <xf numFmtId="9" fontId="0" fillId="0" borderId="44" xfId="1" applyFont="1" applyFill="1" applyBorder="1"/>
    <xf numFmtId="164" fontId="12" fillId="0" borderId="44" xfId="0" applyNumberFormat="1" applyFont="1" applyFill="1" applyBorder="1"/>
    <xf numFmtId="2" fontId="0" fillId="0" borderId="44" xfId="0" applyNumberFormat="1" applyFill="1" applyBorder="1"/>
    <xf numFmtId="165" fontId="9" fillId="0" borderId="0" xfId="0" applyNumberFormat="1" applyFont="1" applyFill="1" applyBorder="1"/>
    <xf numFmtId="0" fontId="0" fillId="0" borderId="22" xfId="0" applyFont="1" applyBorder="1"/>
    <xf numFmtId="0" fontId="3" fillId="0" borderId="45" xfId="0" applyFont="1" applyBorder="1"/>
    <xf numFmtId="0" fontId="3" fillId="0" borderId="40" xfId="0" applyFont="1" applyFill="1" applyBorder="1"/>
    <xf numFmtId="165" fontId="9" fillId="0" borderId="46" xfId="0" applyNumberFormat="1" applyFont="1" applyFill="1" applyBorder="1"/>
    <xf numFmtId="2" fontId="3" fillId="0" borderId="42" xfId="0" applyNumberFormat="1" applyFont="1" applyFill="1" applyBorder="1"/>
    <xf numFmtId="165" fontId="9" fillId="0" borderId="42" xfId="0" applyNumberFormat="1" applyFont="1" applyFill="1" applyBorder="1"/>
    <xf numFmtId="165" fontId="9" fillId="0" borderId="43" xfId="0" applyNumberFormat="1" applyFont="1" applyFill="1" applyBorder="1"/>
    <xf numFmtId="2" fontId="3" fillId="0" borderId="0" xfId="0" applyNumberFormat="1" applyFont="1" applyFill="1" applyBorder="1"/>
    <xf numFmtId="2" fontId="3" fillId="12" borderId="41" xfId="0" applyNumberFormat="1" applyFont="1" applyFill="1" applyBorder="1"/>
    <xf numFmtId="0" fontId="3" fillId="12" borderId="40" xfId="0" applyFont="1" applyFill="1" applyBorder="1"/>
    <xf numFmtId="164" fontId="9" fillId="5" borderId="46" xfId="0" applyNumberFormat="1" applyFont="1" applyFill="1" applyBorder="1"/>
    <xf numFmtId="2" fontId="3" fillId="12" borderId="42" xfId="0" applyNumberFormat="1" applyFont="1" applyFill="1" applyBorder="1"/>
    <xf numFmtId="2" fontId="9" fillId="5" borderId="43" xfId="0" applyNumberFormat="1" applyFont="1" applyFill="1" applyBorder="1"/>
    <xf numFmtId="2" fontId="3" fillId="13" borderId="41" xfId="0" applyNumberFormat="1" applyFont="1" applyFill="1" applyBorder="1"/>
    <xf numFmtId="2" fontId="3" fillId="13" borderId="42" xfId="1" applyNumberFormat="1" applyFont="1" applyFill="1" applyBorder="1"/>
    <xf numFmtId="2" fontId="3" fillId="12" borderId="47" xfId="0" applyNumberFormat="1" applyFont="1" applyFill="1" applyBorder="1"/>
    <xf numFmtId="164" fontId="3" fillId="13" borderId="47" xfId="1" applyNumberFormat="1" applyFont="1" applyFill="1" applyBorder="1"/>
    <xf numFmtId="2" fontId="9" fillId="5" borderId="44" xfId="0" applyNumberFormat="1" applyFont="1" applyFill="1" applyBorder="1"/>
    <xf numFmtId="164" fontId="3" fillId="13" borderId="47" xfId="0" applyNumberFormat="1" applyFont="1" applyFill="1" applyBorder="1"/>
    <xf numFmtId="166" fontId="3" fillId="13" borderId="42" xfId="1" applyNumberFormat="1" applyFont="1" applyFill="1" applyBorder="1"/>
    <xf numFmtId="166" fontId="3" fillId="12" borderId="47" xfId="0" applyNumberFormat="1" applyFont="1" applyFill="1" applyBorder="1"/>
    <xf numFmtId="0" fontId="0" fillId="3" borderId="0" xfId="0" applyFill="1"/>
    <xf numFmtId="0" fontId="6" fillId="2" borderId="13" xfId="0" applyFont="1" applyFill="1" applyBorder="1"/>
    <xf numFmtId="0" fontId="6" fillId="2" borderId="17" xfId="0" applyFont="1" applyFill="1" applyBorder="1"/>
    <xf numFmtId="0" fontId="0" fillId="0" borderId="14" xfId="0" applyBorder="1" applyAlignment="1">
      <alignment horizontal="left"/>
    </xf>
    <xf numFmtId="9" fontId="0" fillId="0" borderId="2" xfId="1" applyFont="1" applyBorder="1"/>
    <xf numFmtId="9" fontId="0" fillId="0" borderId="1" xfId="1" applyFont="1" applyBorder="1"/>
    <xf numFmtId="0" fontId="0" fillId="0" borderId="48" xfId="0" applyBorder="1"/>
    <xf numFmtId="9" fontId="0" fillId="0" borderId="49" xfId="1" applyFont="1" applyBorder="1"/>
    <xf numFmtId="9" fontId="0" fillId="0" borderId="25" xfId="1" applyFont="1" applyBorder="1"/>
    <xf numFmtId="2" fontId="0" fillId="0" borderId="37" xfId="0" applyNumberFormat="1" applyBorder="1"/>
    <xf numFmtId="0" fontId="3" fillId="0" borderId="42" xfId="0" applyFont="1" applyBorder="1"/>
    <xf numFmtId="0" fontId="0" fillId="0" borderId="42" xfId="0" applyBorder="1"/>
    <xf numFmtId="0" fontId="0" fillId="0" borderId="37" xfId="0" applyBorder="1"/>
    <xf numFmtId="0" fontId="3" fillId="0" borderId="43" xfId="0" applyFont="1" applyBorder="1"/>
    <xf numFmtId="0" fontId="3" fillId="0" borderId="50" xfId="0" applyFont="1" applyBorder="1"/>
    <xf numFmtId="0" fontId="0" fillId="12" borderId="49" xfId="0" applyFill="1" applyBorder="1"/>
    <xf numFmtId="0" fontId="0" fillId="12" borderId="25" xfId="1" applyNumberFormat="1" applyFont="1" applyFill="1" applyBorder="1"/>
    <xf numFmtId="9" fontId="0" fillId="12" borderId="25" xfId="1" applyFont="1" applyFill="1" applyBorder="1"/>
    <xf numFmtId="0" fontId="0" fillId="0" borderId="51" xfId="0" applyBorder="1"/>
    <xf numFmtId="0" fontId="0" fillId="12" borderId="48" xfId="0" applyFill="1" applyBorder="1"/>
    <xf numFmtId="165" fontId="12" fillId="6" borderId="30" xfId="0" applyNumberFormat="1" applyFont="1" applyFill="1" applyBorder="1"/>
    <xf numFmtId="165" fontId="12" fillId="6" borderId="31" xfId="0" applyNumberFormat="1" applyFont="1" applyFill="1" applyBorder="1"/>
    <xf numFmtId="165" fontId="12" fillId="6" borderId="29" xfId="0" applyNumberFormat="1" applyFont="1" applyFill="1" applyBorder="1"/>
    <xf numFmtId="165" fontId="0" fillId="6" borderId="32" xfId="0" applyNumberFormat="1" applyFill="1" applyBorder="1"/>
    <xf numFmtId="2" fontId="12" fillId="8" borderId="30" xfId="0" applyNumberFormat="1" applyFont="1" applyFill="1" applyBorder="1"/>
    <xf numFmtId="2" fontId="12" fillId="8" borderId="31" xfId="0" applyNumberFormat="1" applyFont="1" applyFill="1" applyBorder="1"/>
    <xf numFmtId="2" fontId="12" fillId="8" borderId="29" xfId="0" applyNumberFormat="1" applyFont="1" applyFill="1" applyBorder="1"/>
    <xf numFmtId="2" fontId="12" fillId="8" borderId="32" xfId="0" applyNumberFormat="1" applyFont="1" applyFill="1" applyBorder="1"/>
    <xf numFmtId="1" fontId="0" fillId="11" borderId="30" xfId="0" applyNumberFormat="1" applyFill="1" applyBorder="1"/>
    <xf numFmtId="1" fontId="0" fillId="11" borderId="31" xfId="0" applyNumberFormat="1" applyFill="1" applyBorder="1"/>
    <xf numFmtId="1" fontId="0" fillId="11" borderId="52" xfId="0" applyNumberFormat="1" applyFill="1" applyBorder="1"/>
    <xf numFmtId="0" fontId="0" fillId="0" borderId="53" xfId="0" applyFont="1" applyFill="1" applyBorder="1"/>
    <xf numFmtId="165" fontId="12" fillId="0" borderId="28" xfId="0" applyNumberFormat="1" applyFont="1" applyFill="1" applyBorder="1"/>
    <xf numFmtId="2" fontId="0" fillId="0" borderId="38" xfId="0" applyNumberFormat="1" applyFont="1" applyFill="1" applyBorder="1"/>
    <xf numFmtId="165" fontId="12" fillId="0" borderId="38" xfId="0" applyNumberFormat="1" applyFont="1" applyFill="1" applyBorder="1"/>
    <xf numFmtId="165" fontId="9" fillId="0" borderId="39" xfId="0" applyNumberFormat="1" applyFont="1" applyFill="1" applyBorder="1"/>
    <xf numFmtId="2" fontId="0" fillId="12" borderId="1" xfId="1" applyNumberFormat="1" applyFont="1" applyFill="1" applyBorder="1"/>
    <xf numFmtId="2" fontId="0" fillId="12" borderId="25" xfId="1" applyNumberFormat="1" applyFont="1" applyFill="1" applyBorder="1"/>
    <xf numFmtId="2" fontId="0" fillId="12" borderId="9" xfId="1" applyNumberFormat="1" applyFont="1" applyFill="1" applyBorder="1"/>
    <xf numFmtId="0" fontId="0" fillId="12" borderId="7" xfId="0" applyFill="1" applyBorder="1"/>
    <xf numFmtId="0" fontId="0" fillId="12" borderId="10" xfId="0" applyFill="1" applyBorder="1"/>
    <xf numFmtId="2" fontId="0" fillId="12" borderId="2" xfId="0" applyNumberFormat="1" applyFill="1" applyBorder="1"/>
    <xf numFmtId="2" fontId="0" fillId="12" borderId="18" xfId="0" applyNumberFormat="1" applyFill="1" applyBorder="1"/>
    <xf numFmtId="2" fontId="12" fillId="0" borderId="6" xfId="0" applyNumberFormat="1" applyFont="1" applyFill="1" applyBorder="1"/>
    <xf numFmtId="2" fontId="12" fillId="0" borderId="8" xfId="0" applyNumberFormat="1" applyFont="1" applyFill="1" applyBorder="1"/>
    <xf numFmtId="2" fontId="12" fillId="0" borderId="1" xfId="0" applyNumberFormat="1" applyFont="1" applyFill="1" applyBorder="1"/>
    <xf numFmtId="2" fontId="12" fillId="0" borderId="9" xfId="0" applyNumberFormat="1" applyFont="1" applyFill="1" applyBorder="1"/>
    <xf numFmtId="0" fontId="0" fillId="0" borderId="54" xfId="0" applyBorder="1"/>
    <xf numFmtId="0" fontId="0" fillId="0" borderId="55" xfId="0" applyBorder="1"/>
    <xf numFmtId="2" fontId="3" fillId="12" borderId="42" xfId="1" applyNumberFormat="1" applyFont="1" applyFill="1" applyBorder="1"/>
    <xf numFmtId="9" fontId="3" fillId="0" borderId="41" xfId="1" applyFont="1" applyBorder="1"/>
    <xf numFmtId="9" fontId="3" fillId="0" borderId="42" xfId="1" applyFont="1" applyBorder="1"/>
    <xf numFmtId="2" fontId="0" fillId="0" borderId="43" xfId="0" applyNumberFormat="1" applyBorder="1"/>
    <xf numFmtId="3" fontId="0" fillId="7" borderId="17" xfId="0" applyNumberFormat="1" applyFill="1" applyBorder="1"/>
    <xf numFmtId="3" fontId="0" fillId="7" borderId="30" xfId="0" applyNumberFormat="1" applyFill="1" applyBorder="1"/>
    <xf numFmtId="3" fontId="0" fillId="7" borderId="12" xfId="0" applyNumberFormat="1" applyFill="1" applyBorder="1"/>
    <xf numFmtId="3" fontId="0" fillId="7" borderId="1" xfId="0" applyNumberFormat="1" applyFill="1" applyBorder="1"/>
    <xf numFmtId="3" fontId="0" fillId="7" borderId="31" xfId="0" applyNumberFormat="1" applyFill="1" applyBorder="1"/>
    <xf numFmtId="3" fontId="0" fillId="7" borderId="7" xfId="0" applyNumberFormat="1" applyFill="1" applyBorder="1"/>
    <xf numFmtId="3" fontId="0" fillId="7" borderId="25" xfId="0" applyNumberFormat="1" applyFill="1" applyBorder="1"/>
    <xf numFmtId="3" fontId="0" fillId="7" borderId="29" xfId="0" applyNumberFormat="1" applyFill="1" applyBorder="1"/>
    <xf numFmtId="3" fontId="0" fillId="7" borderId="37" xfId="0" applyNumberFormat="1" applyFill="1" applyBorder="1"/>
    <xf numFmtId="3" fontId="0" fillId="7" borderId="9" xfId="0" applyNumberFormat="1" applyFill="1" applyBorder="1"/>
    <xf numFmtId="3" fontId="0" fillId="7" borderId="32" xfId="0" applyNumberFormat="1" applyFill="1" applyBorder="1"/>
    <xf numFmtId="3" fontId="0" fillId="7" borderId="10" xfId="0" applyNumberFormat="1" applyFill="1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B9BD5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H54"/>
  <sheetViews>
    <sheetView tabSelected="1" workbookViewId="0">
      <selection activeCell="E36" sqref="E36"/>
    </sheetView>
  </sheetViews>
  <sheetFormatPr defaultColWidth="9.1796875" defaultRowHeight="14.5" x14ac:dyDescent="0.35"/>
  <cols>
    <col min="1" max="1" width="9.1796875" style="21"/>
    <col min="2" max="2" width="25.54296875" style="21" bestFit="1" customWidth="1"/>
    <col min="3" max="4" width="16.7265625" style="21" customWidth="1"/>
    <col min="5" max="5" width="24.7265625" style="21" customWidth="1"/>
    <col min="6" max="10" width="18.7265625" style="21" customWidth="1"/>
    <col min="11" max="11" width="15.7265625" style="21" customWidth="1"/>
    <col min="12" max="16384" width="9.1796875" style="21"/>
  </cols>
  <sheetData>
    <row r="1" spans="2:7" ht="15" thickBot="1" x14ac:dyDescent="0.4"/>
    <row r="2" spans="2:7" ht="15.5" x14ac:dyDescent="0.35">
      <c r="B2" s="14" t="s">
        <v>48</v>
      </c>
      <c r="C2" s="15"/>
      <c r="D2" s="257"/>
      <c r="E2" s="258"/>
    </row>
    <row r="3" spans="2:7" x14ac:dyDescent="0.35">
      <c r="B3" s="82" t="s">
        <v>19</v>
      </c>
      <c r="C3" s="150" t="s">
        <v>22</v>
      </c>
      <c r="D3" s="259" t="s">
        <v>23</v>
      </c>
      <c r="E3" s="260"/>
    </row>
    <row r="4" spans="2:7" x14ac:dyDescent="0.35">
      <c r="B4" s="7" t="s">
        <v>24</v>
      </c>
      <c r="C4" s="4">
        <v>60</v>
      </c>
      <c r="D4" s="261" t="s">
        <v>28</v>
      </c>
      <c r="E4" s="262"/>
    </row>
    <row r="5" spans="2:7" x14ac:dyDescent="0.35">
      <c r="B5" s="7" t="s">
        <v>21</v>
      </c>
      <c r="C5" s="4" t="s">
        <v>126</v>
      </c>
      <c r="D5" s="261" t="s">
        <v>73</v>
      </c>
      <c r="E5" s="262"/>
    </row>
    <row r="6" spans="2:7" x14ac:dyDescent="0.35">
      <c r="B6" s="7" t="s">
        <v>25</v>
      </c>
      <c r="C6" s="4">
        <v>10</v>
      </c>
      <c r="D6" s="261" t="s">
        <v>28</v>
      </c>
      <c r="E6" s="262"/>
    </row>
    <row r="7" spans="2:7" x14ac:dyDescent="0.35">
      <c r="B7" s="82" t="s">
        <v>20</v>
      </c>
      <c r="C7" s="150" t="s">
        <v>22</v>
      </c>
      <c r="D7" s="259" t="s">
        <v>23</v>
      </c>
      <c r="E7" s="260"/>
    </row>
    <row r="8" spans="2:7" ht="29" x14ac:dyDescent="0.35">
      <c r="B8" s="102" t="s">
        <v>84</v>
      </c>
      <c r="C8" s="4" t="s">
        <v>50</v>
      </c>
      <c r="D8" s="261" t="s">
        <v>54</v>
      </c>
      <c r="E8" s="262"/>
    </row>
    <row r="9" spans="2:7" x14ac:dyDescent="0.35">
      <c r="B9" s="7" t="s">
        <v>26</v>
      </c>
      <c r="C9" s="4">
        <v>75</v>
      </c>
      <c r="D9" s="261" t="s">
        <v>28</v>
      </c>
      <c r="E9" s="262"/>
    </row>
    <row r="10" spans="2:7" ht="15" thickBot="1" x14ac:dyDescent="0.4">
      <c r="B10" s="8" t="s">
        <v>25</v>
      </c>
      <c r="C10" s="16">
        <v>80</v>
      </c>
      <c r="D10" s="255" t="s">
        <v>28</v>
      </c>
      <c r="E10" s="256"/>
    </row>
    <row r="11" spans="2:7" ht="15" thickBot="1" x14ac:dyDescent="0.4"/>
    <row r="12" spans="2:7" ht="16" thickBot="1" x14ac:dyDescent="0.4">
      <c r="B12" s="14" t="s">
        <v>127</v>
      </c>
      <c r="C12" s="190"/>
      <c r="D12" s="190"/>
      <c r="E12" s="190"/>
      <c r="F12" s="190"/>
      <c r="G12" s="190"/>
    </row>
    <row r="13" spans="2:7" ht="29" x14ac:dyDescent="0.35">
      <c r="B13" s="191" t="s">
        <v>105</v>
      </c>
      <c r="C13" s="12" t="s">
        <v>128</v>
      </c>
      <c r="D13" s="192" t="s">
        <v>129</v>
      </c>
      <c r="E13" s="13" t="s">
        <v>130</v>
      </c>
      <c r="F13" s="13" t="s">
        <v>131</v>
      </c>
      <c r="G13" s="9" t="s">
        <v>132</v>
      </c>
    </row>
    <row r="14" spans="2:7" x14ac:dyDescent="0.35">
      <c r="B14" s="193" t="s">
        <v>133</v>
      </c>
      <c r="C14" s="194"/>
      <c r="D14" s="195">
        <v>1</v>
      </c>
      <c r="E14" s="3">
        <v>2.73</v>
      </c>
      <c r="F14" s="3">
        <v>2.75</v>
      </c>
      <c r="G14" s="98">
        <f>(C14*E14)+(D14*F14)</f>
        <v>2.75</v>
      </c>
    </row>
    <row r="15" spans="2:7" x14ac:dyDescent="0.35">
      <c r="B15" s="10" t="s">
        <v>134</v>
      </c>
      <c r="C15" s="194"/>
      <c r="D15" s="195">
        <v>1</v>
      </c>
      <c r="E15" s="3">
        <v>2.73</v>
      </c>
      <c r="F15" s="3">
        <v>2.75</v>
      </c>
      <c r="G15" s="98">
        <f t="shared" ref="G15:G24" si="0">(C15*E15)+(D15*F15)</f>
        <v>2.75</v>
      </c>
    </row>
    <row r="16" spans="2:7" x14ac:dyDescent="0.35">
      <c r="B16" s="10" t="s">
        <v>135</v>
      </c>
      <c r="C16" s="194"/>
      <c r="D16" s="195">
        <v>1</v>
      </c>
      <c r="E16" s="3">
        <v>2.73</v>
      </c>
      <c r="F16" s="3">
        <v>2.75</v>
      </c>
      <c r="G16" s="98">
        <f t="shared" si="0"/>
        <v>2.75</v>
      </c>
    </row>
    <row r="17" spans="2:8" x14ac:dyDescent="0.35">
      <c r="B17" s="10" t="s">
        <v>136</v>
      </c>
      <c r="C17" s="194">
        <v>1</v>
      </c>
      <c r="D17" s="195"/>
      <c r="E17" s="3">
        <v>2.73</v>
      </c>
      <c r="F17" s="3">
        <v>2.75</v>
      </c>
      <c r="G17" s="98">
        <f t="shared" si="0"/>
        <v>2.73</v>
      </c>
    </row>
    <row r="18" spans="2:8" x14ac:dyDescent="0.35">
      <c r="B18" s="10" t="s">
        <v>137</v>
      </c>
      <c r="C18" s="194">
        <v>0.59</v>
      </c>
      <c r="D18" s="195">
        <v>0.41</v>
      </c>
      <c r="E18" s="3">
        <v>2.73</v>
      </c>
      <c r="F18" s="3">
        <v>2.75</v>
      </c>
      <c r="G18" s="98">
        <f t="shared" si="0"/>
        <v>2.7382</v>
      </c>
    </row>
    <row r="19" spans="2:8" x14ac:dyDescent="0.35">
      <c r="B19" s="10" t="s">
        <v>138</v>
      </c>
      <c r="C19" s="194">
        <v>1</v>
      </c>
      <c r="D19" s="195"/>
      <c r="E19" s="3">
        <v>2.73</v>
      </c>
      <c r="F19" s="3">
        <v>2.75</v>
      </c>
      <c r="G19" s="98">
        <f t="shared" si="0"/>
        <v>2.73</v>
      </c>
    </row>
    <row r="20" spans="2:8" x14ac:dyDescent="0.35">
      <c r="B20" s="10" t="s">
        <v>139</v>
      </c>
      <c r="C20" s="194">
        <v>1</v>
      </c>
      <c r="D20" s="195"/>
      <c r="E20" s="3">
        <v>2.73</v>
      </c>
      <c r="F20" s="3">
        <v>2.75</v>
      </c>
      <c r="G20" s="98">
        <f t="shared" si="0"/>
        <v>2.73</v>
      </c>
    </row>
    <row r="21" spans="2:8" x14ac:dyDescent="0.35">
      <c r="B21" s="10" t="s">
        <v>140</v>
      </c>
      <c r="C21" s="194">
        <v>1</v>
      </c>
      <c r="D21" s="195"/>
      <c r="E21" s="3">
        <v>2.73</v>
      </c>
      <c r="F21" s="3">
        <v>2.75</v>
      </c>
      <c r="G21" s="98">
        <f t="shared" si="0"/>
        <v>2.73</v>
      </c>
    </row>
    <row r="22" spans="2:8" x14ac:dyDescent="0.35">
      <c r="B22" s="10" t="s">
        <v>141</v>
      </c>
      <c r="C22" s="194">
        <v>1</v>
      </c>
      <c r="D22" s="195"/>
      <c r="E22" s="3">
        <v>2.73</v>
      </c>
      <c r="F22" s="3">
        <v>2.75</v>
      </c>
      <c r="G22" s="98">
        <f t="shared" si="0"/>
        <v>2.73</v>
      </c>
    </row>
    <row r="23" spans="2:8" ht="15" thickBot="1" x14ac:dyDescent="0.4">
      <c r="B23" s="196" t="s">
        <v>142</v>
      </c>
      <c r="C23" s="197">
        <v>1</v>
      </c>
      <c r="D23" s="198"/>
      <c r="E23" s="140">
        <v>2.73</v>
      </c>
      <c r="F23" s="140">
        <v>2.75</v>
      </c>
      <c r="G23" s="199">
        <f t="shared" si="0"/>
        <v>2.73</v>
      </c>
    </row>
    <row r="24" spans="2:8" ht="15" thickBot="1" x14ac:dyDescent="0.4">
      <c r="B24" s="157" t="s">
        <v>143</v>
      </c>
      <c r="C24" s="240">
        <v>0.77152016546018609</v>
      </c>
      <c r="D24" s="241">
        <v>0.22847983453981385</v>
      </c>
      <c r="E24" s="200">
        <v>2.73</v>
      </c>
      <c r="F24" s="201">
        <v>2.75</v>
      </c>
      <c r="G24" s="242">
        <f t="shared" si="0"/>
        <v>2.7345695966907959</v>
      </c>
    </row>
    <row r="25" spans="2:8" ht="15" thickBot="1" x14ac:dyDescent="0.4"/>
    <row r="26" spans="2:8" ht="16" thickBot="1" x14ac:dyDescent="0.4">
      <c r="B26" s="14" t="s">
        <v>51</v>
      </c>
      <c r="C26" s="190"/>
    </row>
    <row r="27" spans="2:8" ht="29" x14ac:dyDescent="0.35">
      <c r="B27" s="80" t="s">
        <v>52</v>
      </c>
      <c r="C27" s="9" t="s">
        <v>53</v>
      </c>
      <c r="H27" s="81"/>
    </row>
    <row r="28" spans="2:8" x14ac:dyDescent="0.35">
      <c r="B28" s="193" t="s">
        <v>133</v>
      </c>
      <c r="C28" s="5">
        <v>0.28000000000000003</v>
      </c>
      <c r="H28" s="81"/>
    </row>
    <row r="29" spans="2:8" x14ac:dyDescent="0.35">
      <c r="B29" s="10" t="s">
        <v>134</v>
      </c>
      <c r="C29" s="5">
        <v>0.28000000000000003</v>
      </c>
      <c r="H29" s="81"/>
    </row>
    <row r="30" spans="2:8" x14ac:dyDescent="0.35">
      <c r="B30" s="10" t="s">
        <v>135</v>
      </c>
      <c r="C30" s="5">
        <v>0.28000000000000003</v>
      </c>
      <c r="H30" s="81"/>
    </row>
    <row r="31" spans="2:8" x14ac:dyDescent="0.35">
      <c r="B31" s="10" t="s">
        <v>136</v>
      </c>
      <c r="C31" s="5">
        <v>0.28000000000000003</v>
      </c>
      <c r="H31" s="81"/>
    </row>
    <row r="32" spans="2:8" x14ac:dyDescent="0.35">
      <c r="B32" s="10" t="s">
        <v>137</v>
      </c>
      <c r="C32" s="98">
        <v>0.31</v>
      </c>
      <c r="H32" s="81"/>
    </row>
    <row r="33" spans="2:8" x14ac:dyDescent="0.35">
      <c r="B33" s="10" t="s">
        <v>138</v>
      </c>
      <c r="C33" s="5">
        <v>0.28000000000000003</v>
      </c>
      <c r="H33" s="81"/>
    </row>
    <row r="34" spans="2:8" x14ac:dyDescent="0.35">
      <c r="B34" s="10" t="s">
        <v>139</v>
      </c>
      <c r="C34" s="5">
        <v>0.33</v>
      </c>
      <c r="H34" s="81"/>
    </row>
    <row r="35" spans="2:8" x14ac:dyDescent="0.35">
      <c r="B35" s="10" t="s">
        <v>140</v>
      </c>
      <c r="C35" s="5">
        <v>0.31</v>
      </c>
      <c r="H35" s="81"/>
    </row>
    <row r="36" spans="2:8" x14ac:dyDescent="0.35">
      <c r="B36" s="10" t="s">
        <v>141</v>
      </c>
      <c r="C36" s="5">
        <v>0.37</v>
      </c>
      <c r="H36" s="81"/>
    </row>
    <row r="37" spans="2:8" ht="15" thickBot="1" x14ac:dyDescent="0.4">
      <c r="B37" s="196" t="s">
        <v>142</v>
      </c>
      <c r="C37" s="202">
        <v>0.33</v>
      </c>
      <c r="H37" s="81"/>
    </row>
    <row r="38" spans="2:8" ht="15" thickBot="1" x14ac:dyDescent="0.4">
      <c r="B38" s="170" t="s">
        <v>116</v>
      </c>
      <c r="C38" s="203">
        <v>0.32</v>
      </c>
      <c r="G38" s="81"/>
      <c r="H38" s="81"/>
    </row>
    <row r="39" spans="2:8" ht="15" thickBot="1" x14ac:dyDescent="0.4"/>
    <row r="40" spans="2:8" ht="16" thickBot="1" x14ac:dyDescent="0.4">
      <c r="B40" s="14" t="s">
        <v>55</v>
      </c>
      <c r="C40" s="190"/>
      <c r="D40" s="190"/>
    </row>
    <row r="41" spans="2:8" ht="29" x14ac:dyDescent="0.35">
      <c r="B41" s="80" t="s">
        <v>52</v>
      </c>
      <c r="C41" s="9" t="s">
        <v>56</v>
      </c>
      <c r="D41" s="9" t="s">
        <v>151</v>
      </c>
    </row>
    <row r="42" spans="2:8" x14ac:dyDescent="0.35">
      <c r="B42" s="193" t="s">
        <v>133</v>
      </c>
      <c r="C42" s="5">
        <v>15.05</v>
      </c>
      <c r="D42" s="5">
        <v>11.99</v>
      </c>
    </row>
    <row r="43" spans="2:8" x14ac:dyDescent="0.35">
      <c r="B43" s="10" t="s">
        <v>134</v>
      </c>
      <c r="C43" s="5">
        <v>14.16</v>
      </c>
      <c r="D43" s="5">
        <v>11.44</v>
      </c>
    </row>
    <row r="44" spans="2:8" x14ac:dyDescent="0.35">
      <c r="B44" s="10" t="s">
        <v>135</v>
      </c>
      <c r="C44" s="5">
        <v>13.75</v>
      </c>
      <c r="D44" s="5">
        <v>11.22</v>
      </c>
    </row>
    <row r="45" spans="2:8" x14ac:dyDescent="0.35">
      <c r="B45" s="10" t="s">
        <v>136</v>
      </c>
      <c r="C45" s="5">
        <v>15.71</v>
      </c>
      <c r="D45" s="5">
        <v>12.45</v>
      </c>
    </row>
    <row r="46" spans="2:8" x14ac:dyDescent="0.35">
      <c r="B46" s="10" t="s">
        <v>137</v>
      </c>
      <c r="C46" s="5">
        <v>14.43</v>
      </c>
      <c r="D46" s="5">
        <v>11.7</v>
      </c>
    </row>
    <row r="47" spans="2:8" x14ac:dyDescent="0.35">
      <c r="B47" s="10" t="s">
        <v>138</v>
      </c>
      <c r="C47" s="5">
        <v>16.97</v>
      </c>
      <c r="D47" s="5">
        <v>13.22</v>
      </c>
    </row>
    <row r="48" spans="2:8" x14ac:dyDescent="0.35">
      <c r="B48" s="10" t="s">
        <v>139</v>
      </c>
      <c r="C48" s="5">
        <v>16.3</v>
      </c>
      <c r="D48" s="5">
        <v>12.88</v>
      </c>
    </row>
    <row r="49" spans="2:4" x14ac:dyDescent="0.35">
      <c r="B49" s="10" t="s">
        <v>140</v>
      </c>
      <c r="C49" s="5">
        <v>15.53</v>
      </c>
      <c r="D49" s="5">
        <v>12.43</v>
      </c>
    </row>
    <row r="50" spans="2:4" x14ac:dyDescent="0.35">
      <c r="B50" s="10" t="s">
        <v>141</v>
      </c>
      <c r="C50" s="202">
        <v>14.82</v>
      </c>
      <c r="D50" s="202">
        <v>12.05</v>
      </c>
    </row>
    <row r="51" spans="2:4" ht="15" thickBot="1" x14ac:dyDescent="0.4">
      <c r="B51" s="11" t="s">
        <v>142</v>
      </c>
      <c r="C51" s="6">
        <v>15.63</v>
      </c>
      <c r="D51" s="6">
        <v>12.51</v>
      </c>
    </row>
    <row r="52" spans="2:4" ht="15" thickBot="1" x14ac:dyDescent="0.4">
      <c r="B52" s="204" t="s">
        <v>116</v>
      </c>
      <c r="C52" s="83">
        <v>15.24</v>
      </c>
      <c r="D52" s="97">
        <v>12.188999999999998</v>
      </c>
    </row>
    <row r="54" spans="2:4" x14ac:dyDescent="0.35">
      <c r="B54" s="21" t="s">
        <v>103</v>
      </c>
      <c r="C54" s="21" t="s">
        <v>104</v>
      </c>
    </row>
  </sheetData>
  <sheetProtection algorithmName="SHA-512" hashValue="gJEcae5hkuPCwEhpUKHNZUcNBgMUipJRlWfien/cIxx3kW9Bgfze/cqFVnUWhJogCifil6A98+SJmLaKKFdSKg==" saltValue="IojZ2VPmYknUV0iwbwu1vQ==" spinCount="100000" sheet="1" objects="1" scenarios="1"/>
  <mergeCells count="9">
    <mergeCell ref="D10:E10"/>
    <mergeCell ref="D2:E2"/>
    <mergeCell ref="D3:E3"/>
    <mergeCell ref="D4:E4"/>
    <mergeCell ref="D5:E5"/>
    <mergeCell ref="D6:E6"/>
    <mergeCell ref="D7:E7"/>
    <mergeCell ref="D8:E8"/>
    <mergeCell ref="D9:E9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Z77"/>
  <sheetViews>
    <sheetView topLeftCell="A89" zoomScaleNormal="100" zoomScaleSheetLayoutView="100" workbookViewId="0">
      <selection activeCell="I45" sqref="I45:I53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3" width="18.7265625" style="21" customWidth="1"/>
    <col min="14" max="14" width="32.7265625" style="21" customWidth="1"/>
    <col min="15" max="24" width="7.7265625" style="21" customWidth="1"/>
    <col min="25" max="25" width="8.7265625" style="21" customWidth="1"/>
    <col min="26" max="26" width="13.7265625" style="21" customWidth="1"/>
    <col min="27" max="16384" width="9.1796875" style="21"/>
  </cols>
  <sheetData>
    <row r="1" spans="1:26" x14ac:dyDescent="0.35">
      <c r="G1" s="134"/>
    </row>
    <row r="2" spans="1:26" x14ac:dyDescent="0.35">
      <c r="A2" s="133" t="s">
        <v>108</v>
      </c>
      <c r="G2" s="134"/>
    </row>
    <row r="3" spans="1:26" x14ac:dyDescent="0.35">
      <c r="A3" s="133" t="s">
        <v>107</v>
      </c>
    </row>
    <row r="5" spans="1:26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26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6" ht="15.5" x14ac:dyDescent="0.35">
      <c r="A7" s="17"/>
      <c r="B7" s="17"/>
      <c r="C7" s="63" t="s">
        <v>60</v>
      </c>
      <c r="D7" s="17"/>
      <c r="E7" s="84">
        <v>950</v>
      </c>
      <c r="F7" s="17"/>
      <c r="G7" s="17"/>
      <c r="H7" s="17"/>
      <c r="I7" s="17"/>
      <c r="J7" s="17"/>
      <c r="K7" s="17"/>
      <c r="L7" s="17"/>
    </row>
    <row r="8" spans="1:26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26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5" customHeight="1" x14ac:dyDescent="0.35">
      <c r="A12" s="61"/>
      <c r="B12" s="19"/>
      <c r="C12" s="17"/>
      <c r="D12" s="10" t="s">
        <v>133</v>
      </c>
      <c r="E12" s="53">
        <v>60</v>
      </c>
      <c r="F12" s="226">
        <v>2.75</v>
      </c>
      <c r="G12" s="29">
        <f>E12*F12</f>
        <v>165</v>
      </c>
      <c r="H12" s="57">
        <v>0.1</v>
      </c>
      <c r="I12" s="35">
        <f>G12*H12</f>
        <v>16.5</v>
      </c>
      <c r="K12" s="17"/>
      <c r="L12" s="17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5" customHeight="1" x14ac:dyDescent="0.35">
      <c r="A13" s="61"/>
      <c r="B13" s="19"/>
      <c r="C13" s="17"/>
      <c r="D13" s="10" t="s">
        <v>134</v>
      </c>
      <c r="E13" s="53">
        <v>60</v>
      </c>
      <c r="F13" s="226">
        <v>2.75</v>
      </c>
      <c r="G13" s="29">
        <f t="shared" ref="G13:G23" si="0">E13*F13</f>
        <v>165</v>
      </c>
      <c r="H13" s="57">
        <v>0.1</v>
      </c>
      <c r="I13" s="35">
        <f t="shared" ref="I13:I23" si="1">G13*H13</f>
        <v>16.5</v>
      </c>
      <c r="K13" s="17"/>
      <c r="L13" s="17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35">
      <c r="A14" s="62"/>
      <c r="B14" s="17"/>
      <c r="C14" s="17"/>
      <c r="D14" s="10" t="s">
        <v>135</v>
      </c>
      <c r="E14" s="53">
        <v>60</v>
      </c>
      <c r="F14" s="226">
        <v>2.75</v>
      </c>
      <c r="G14" s="29">
        <f t="shared" si="0"/>
        <v>165</v>
      </c>
      <c r="H14" s="57">
        <v>0.1</v>
      </c>
      <c r="I14" s="35">
        <f t="shared" si="1"/>
        <v>16.5</v>
      </c>
      <c r="K14" s="17"/>
      <c r="L14" s="17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35">
      <c r="A15" s="62"/>
      <c r="B15" s="17"/>
      <c r="C15" s="17"/>
      <c r="D15" s="20" t="s">
        <v>136</v>
      </c>
      <c r="E15" s="53">
        <v>60</v>
      </c>
      <c r="F15" s="226">
        <v>2.73</v>
      </c>
      <c r="G15" s="29">
        <f t="shared" si="0"/>
        <v>163.80000000000001</v>
      </c>
      <c r="H15" s="57">
        <v>0.1</v>
      </c>
      <c r="I15" s="35">
        <f t="shared" si="1"/>
        <v>16.380000000000003</v>
      </c>
      <c r="K15" s="17"/>
      <c r="L15" s="17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" customHeight="1" x14ac:dyDescent="0.35">
      <c r="A16" s="62"/>
      <c r="B16" s="17"/>
      <c r="C16" s="17"/>
      <c r="D16" s="10" t="s">
        <v>137</v>
      </c>
      <c r="E16" s="53">
        <v>60</v>
      </c>
      <c r="F16" s="226">
        <v>2.7382</v>
      </c>
      <c r="G16" s="29">
        <f t="shared" si="0"/>
        <v>164.292</v>
      </c>
      <c r="H16" s="57">
        <v>0.1</v>
      </c>
      <c r="I16" s="35">
        <f t="shared" si="1"/>
        <v>16.429200000000002</v>
      </c>
      <c r="K16" s="17"/>
      <c r="L16" s="17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5" customHeight="1" x14ac:dyDescent="0.35">
      <c r="A17" s="62"/>
      <c r="B17" s="17"/>
      <c r="C17" s="17"/>
      <c r="D17" s="10" t="s">
        <v>138</v>
      </c>
      <c r="E17" s="53">
        <v>60</v>
      </c>
      <c r="F17" s="226">
        <v>2.73</v>
      </c>
      <c r="G17" s="29">
        <f t="shared" si="0"/>
        <v>163.80000000000001</v>
      </c>
      <c r="H17" s="57">
        <v>0.1</v>
      </c>
      <c r="I17" s="35">
        <f t="shared" si="1"/>
        <v>16.380000000000003</v>
      </c>
      <c r="K17" s="17"/>
      <c r="L17" s="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35">
      <c r="A18" s="62"/>
      <c r="B18" s="17"/>
      <c r="C18" s="17"/>
      <c r="D18" s="10" t="s">
        <v>139</v>
      </c>
      <c r="E18" s="53">
        <v>60</v>
      </c>
      <c r="F18" s="226">
        <v>2.73</v>
      </c>
      <c r="G18" s="29">
        <f t="shared" si="0"/>
        <v>163.80000000000001</v>
      </c>
      <c r="H18" s="57">
        <v>0.1</v>
      </c>
      <c r="I18" s="35">
        <f t="shared" si="1"/>
        <v>16.380000000000003</v>
      </c>
      <c r="K18" s="17"/>
      <c r="L18" s="17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35">
      <c r="A19" s="62"/>
      <c r="B19" s="17"/>
      <c r="C19" s="17"/>
      <c r="D19" s="10" t="s">
        <v>140</v>
      </c>
      <c r="E19" s="53">
        <v>60</v>
      </c>
      <c r="F19" s="226">
        <v>2.73</v>
      </c>
      <c r="G19" s="29">
        <f t="shared" si="0"/>
        <v>163.80000000000001</v>
      </c>
      <c r="H19" s="57">
        <v>0.1</v>
      </c>
      <c r="I19" s="35">
        <f t="shared" si="1"/>
        <v>16.380000000000003</v>
      </c>
      <c r="K19" s="17"/>
      <c r="L19" s="17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5.75" customHeight="1" x14ac:dyDescent="0.35">
      <c r="A20" s="62"/>
      <c r="B20" s="17"/>
      <c r="C20" s="17"/>
      <c r="D20" s="196" t="s">
        <v>141</v>
      </c>
      <c r="E20" s="205">
        <v>60</v>
      </c>
      <c r="F20" s="227">
        <v>2.73</v>
      </c>
      <c r="G20" s="29">
        <f t="shared" si="0"/>
        <v>163.80000000000001</v>
      </c>
      <c r="H20" s="57">
        <v>0.1</v>
      </c>
      <c r="I20" s="35">
        <f t="shared" si="1"/>
        <v>16.380000000000003</v>
      </c>
      <c r="K20" s="17"/>
      <c r="L20" s="17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5" customHeight="1" thickBot="1" x14ac:dyDescent="0.4">
      <c r="A21" s="62"/>
      <c r="B21" s="17"/>
      <c r="C21" s="17"/>
      <c r="D21" s="11" t="s">
        <v>142</v>
      </c>
      <c r="E21" s="55">
        <v>60</v>
      </c>
      <c r="F21" s="228">
        <v>2.73</v>
      </c>
      <c r="G21" s="29">
        <f t="shared" si="0"/>
        <v>163.80000000000001</v>
      </c>
      <c r="H21" s="58">
        <v>0.1</v>
      </c>
      <c r="I21" s="36">
        <f t="shared" si="1"/>
        <v>16.380000000000003</v>
      </c>
      <c r="K21" s="17"/>
      <c r="L21" s="17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5" customHeight="1" thickBot="1" x14ac:dyDescent="0.4">
      <c r="A22" s="62"/>
      <c r="B22" s="17"/>
      <c r="C22" s="17"/>
      <c r="K22" s="17"/>
      <c r="L22" s="17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5" thickBot="1" x14ac:dyDescent="0.4">
      <c r="A23" s="62"/>
      <c r="B23" s="17"/>
      <c r="C23" s="17"/>
      <c r="D23" s="157" t="s">
        <v>144</v>
      </c>
      <c r="E23" s="158"/>
      <c r="F23" s="159"/>
      <c r="G23" s="162">
        <f t="shared" si="0"/>
        <v>0</v>
      </c>
      <c r="H23" s="161"/>
      <c r="I23" s="181">
        <f t="shared" si="1"/>
        <v>0</v>
      </c>
      <c r="K23" s="17"/>
      <c r="L23" s="17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58" x14ac:dyDescent="0.35">
      <c r="A27" s="61"/>
      <c r="B27" s="17"/>
      <c r="C27" s="17"/>
      <c r="D27" s="135" t="s">
        <v>105</v>
      </c>
      <c r="E27" s="12" t="s">
        <v>57</v>
      </c>
      <c r="F27" s="13" t="s">
        <v>16</v>
      </c>
      <c r="G27" s="13" t="s">
        <v>85</v>
      </c>
      <c r="H27" s="9" t="s">
        <v>114</v>
      </c>
      <c r="I27" s="17"/>
      <c r="J27" s="17"/>
    </row>
    <row r="28" spans="1:26" x14ac:dyDescent="0.35">
      <c r="A28" s="61"/>
      <c r="B28" s="17"/>
      <c r="C28" s="17"/>
      <c r="D28" s="10" t="s">
        <v>133</v>
      </c>
      <c r="E28" s="231">
        <v>15.05</v>
      </c>
      <c r="F28" s="57">
        <v>0.75</v>
      </c>
      <c r="G28" s="29">
        <f>E28/F28</f>
        <v>20.066666666666666</v>
      </c>
      <c r="H28" s="35">
        <f>G28/12</f>
        <v>1.6722222222222223</v>
      </c>
      <c r="I28" s="17"/>
      <c r="J28" s="17"/>
    </row>
    <row r="29" spans="1:26" x14ac:dyDescent="0.35">
      <c r="A29" s="17"/>
      <c r="B29" s="17"/>
      <c r="C29" s="17"/>
      <c r="D29" s="10" t="s">
        <v>134</v>
      </c>
      <c r="E29" s="231">
        <v>14.16</v>
      </c>
      <c r="F29" s="57">
        <v>0.75</v>
      </c>
      <c r="G29" s="29">
        <f t="shared" ref="G29:G39" si="2">E29/F29</f>
        <v>18.88</v>
      </c>
      <c r="H29" s="35">
        <f t="shared" ref="H29:H39" si="3">G29/12</f>
        <v>1.5733333333333333</v>
      </c>
      <c r="I29" s="17"/>
      <c r="J29" s="17"/>
    </row>
    <row r="30" spans="1:26" x14ac:dyDescent="0.35">
      <c r="A30" s="17"/>
      <c r="B30" s="17"/>
      <c r="C30" s="17"/>
      <c r="D30" s="10" t="s">
        <v>135</v>
      </c>
      <c r="E30" s="231">
        <v>13.75</v>
      </c>
      <c r="F30" s="57">
        <v>0.75</v>
      </c>
      <c r="G30" s="29">
        <f t="shared" si="2"/>
        <v>18.333333333333332</v>
      </c>
      <c r="H30" s="35">
        <f t="shared" si="3"/>
        <v>1.5277777777777777</v>
      </c>
      <c r="I30" s="17"/>
      <c r="J30" s="17"/>
    </row>
    <row r="31" spans="1:26" x14ac:dyDescent="0.35">
      <c r="A31" s="17"/>
      <c r="B31" s="17"/>
      <c r="C31" s="17"/>
      <c r="D31" s="10" t="s">
        <v>136</v>
      </c>
      <c r="E31" s="231">
        <v>15.71</v>
      </c>
      <c r="F31" s="57">
        <v>0.75</v>
      </c>
      <c r="G31" s="29">
        <f t="shared" si="2"/>
        <v>20.946666666666669</v>
      </c>
      <c r="H31" s="35">
        <f t="shared" si="3"/>
        <v>1.7455555555555557</v>
      </c>
      <c r="I31" s="17"/>
      <c r="J31" s="17"/>
    </row>
    <row r="32" spans="1:26" x14ac:dyDescent="0.35">
      <c r="A32" s="17"/>
      <c r="B32" s="17"/>
      <c r="C32" s="17"/>
      <c r="D32" s="10" t="s">
        <v>137</v>
      </c>
      <c r="E32" s="231">
        <v>14.43</v>
      </c>
      <c r="F32" s="57">
        <v>0.75</v>
      </c>
      <c r="G32" s="29">
        <f t="shared" si="2"/>
        <v>19.239999999999998</v>
      </c>
      <c r="H32" s="35">
        <f t="shared" si="3"/>
        <v>1.6033333333333333</v>
      </c>
      <c r="I32" s="17"/>
      <c r="J32" s="17"/>
    </row>
    <row r="33" spans="1:15" x14ac:dyDescent="0.35">
      <c r="A33" s="17"/>
      <c r="B33" s="17"/>
      <c r="C33" s="17"/>
      <c r="D33" s="10" t="s">
        <v>138</v>
      </c>
      <c r="E33" s="231">
        <v>16.97</v>
      </c>
      <c r="F33" s="57">
        <v>0.75</v>
      </c>
      <c r="G33" s="29">
        <f t="shared" si="2"/>
        <v>22.626666666666665</v>
      </c>
      <c r="H33" s="35">
        <f t="shared" si="3"/>
        <v>1.8855555555555554</v>
      </c>
      <c r="I33" s="17"/>
      <c r="J33" s="17"/>
      <c r="N33" s="79"/>
    </row>
    <row r="34" spans="1:15" x14ac:dyDescent="0.35">
      <c r="A34" s="17"/>
      <c r="B34" s="17"/>
      <c r="C34" s="17"/>
      <c r="D34" s="10" t="s">
        <v>139</v>
      </c>
      <c r="E34" s="231">
        <v>16.3</v>
      </c>
      <c r="F34" s="57">
        <v>0.75</v>
      </c>
      <c r="G34" s="29">
        <f t="shared" si="2"/>
        <v>21.733333333333334</v>
      </c>
      <c r="H34" s="35">
        <f t="shared" si="3"/>
        <v>1.8111111111111111</v>
      </c>
      <c r="I34" s="17"/>
      <c r="J34" s="17"/>
    </row>
    <row r="35" spans="1:15" x14ac:dyDescent="0.35">
      <c r="A35" s="17"/>
      <c r="B35" s="17"/>
      <c r="C35" s="17"/>
      <c r="D35" s="10" t="s">
        <v>140</v>
      </c>
      <c r="E35" s="231">
        <v>15.53</v>
      </c>
      <c r="F35" s="57">
        <v>0.75</v>
      </c>
      <c r="G35" s="29">
        <f t="shared" si="2"/>
        <v>20.706666666666667</v>
      </c>
      <c r="H35" s="35">
        <f t="shared" si="3"/>
        <v>1.7255555555555555</v>
      </c>
      <c r="I35" s="17"/>
      <c r="J35" s="17"/>
      <c r="K35" s="101"/>
      <c r="L35" s="101"/>
    </row>
    <row r="36" spans="1:15" x14ac:dyDescent="0.35">
      <c r="A36" s="17"/>
      <c r="B36" s="17"/>
      <c r="C36" s="17"/>
      <c r="D36" s="196" t="s">
        <v>141</v>
      </c>
      <c r="E36" s="231">
        <v>14.82</v>
      </c>
      <c r="F36" s="207">
        <v>0.75</v>
      </c>
      <c r="G36" s="29">
        <f t="shared" si="2"/>
        <v>19.760000000000002</v>
      </c>
      <c r="H36" s="35">
        <f t="shared" si="3"/>
        <v>1.6466666666666667</v>
      </c>
      <c r="I36" s="17"/>
      <c r="J36" s="17"/>
      <c r="K36" s="101"/>
      <c r="L36" s="101"/>
    </row>
    <row r="37" spans="1:15" ht="15" thickBot="1" x14ac:dyDescent="0.4">
      <c r="A37" s="17"/>
      <c r="B37" s="17"/>
      <c r="C37" s="17"/>
      <c r="D37" s="11" t="s">
        <v>142</v>
      </c>
      <c r="E37" s="232">
        <v>15.63</v>
      </c>
      <c r="F37" s="58">
        <v>0.75</v>
      </c>
      <c r="G37" s="31">
        <f t="shared" si="2"/>
        <v>20.84</v>
      </c>
      <c r="H37" s="36">
        <f t="shared" si="3"/>
        <v>1.7366666666666666</v>
      </c>
      <c r="I37" s="17"/>
      <c r="J37" s="17"/>
    </row>
    <row r="38" spans="1:15" ht="15" thickBot="1" x14ac:dyDescent="0.4">
      <c r="A38" s="17"/>
      <c r="B38" s="17"/>
      <c r="C38" s="17"/>
      <c r="I38" s="17"/>
      <c r="J38" s="17"/>
    </row>
    <row r="39" spans="1:15" ht="15" thickBot="1" x14ac:dyDescent="0.4">
      <c r="A39" s="17"/>
      <c r="B39" s="17"/>
      <c r="C39" s="17"/>
      <c r="D39" s="157" t="s">
        <v>144</v>
      </c>
      <c r="E39" s="158"/>
      <c r="F39" s="161"/>
      <c r="G39" s="162" t="e">
        <f t="shared" si="2"/>
        <v>#DIV/0!</v>
      </c>
      <c r="H39" s="181" t="e">
        <f t="shared" si="3"/>
        <v>#DIV/0!</v>
      </c>
      <c r="I39" s="17"/>
      <c r="J39" s="17"/>
      <c r="N39" s="17"/>
      <c r="O39" s="17"/>
    </row>
    <row r="40" spans="1:15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N40" s="17"/>
      <c r="O40" s="17"/>
    </row>
    <row r="41" spans="1:15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  <c r="N41" s="17"/>
      <c r="O41" s="17"/>
    </row>
    <row r="42" spans="1:15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  <c r="N42" s="17"/>
      <c r="O42" s="17"/>
    </row>
    <row r="43" spans="1:15" ht="43.5" x14ac:dyDescent="0.35">
      <c r="A43" s="17"/>
      <c r="B43" s="17"/>
      <c r="C43" s="17"/>
      <c r="D43" s="23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68</v>
      </c>
      <c r="L43" s="9" t="s">
        <v>69</v>
      </c>
      <c r="N43" s="17"/>
      <c r="O43" s="17"/>
    </row>
    <row r="44" spans="1:15" ht="15" customHeight="1" x14ac:dyDescent="0.35">
      <c r="A44" s="19"/>
      <c r="B44" s="17"/>
      <c r="C44" s="17"/>
      <c r="D44" s="10" t="s">
        <v>133</v>
      </c>
      <c r="E44" s="138">
        <f t="shared" ref="E44:E53" si="4">G12</f>
        <v>165</v>
      </c>
      <c r="F44" s="88">
        <f>$E$7-E44</f>
        <v>785</v>
      </c>
      <c r="G44" s="27">
        <f t="shared" ref="G44:G53" si="5">F44/$E$76</f>
        <v>0.87937284856341724</v>
      </c>
      <c r="H44" s="88">
        <f t="shared" ref="H44:H53" si="6">G44/H28</f>
        <v>0.52587080644988404</v>
      </c>
      <c r="I44" s="148">
        <f>H44</f>
        <v>0.52587080644988404</v>
      </c>
      <c r="J44" s="57">
        <v>0.8</v>
      </c>
      <c r="K44" s="95">
        <f t="shared" ref="K44:K53" si="7">I44*H28*J44</f>
        <v>0.70349827885073379</v>
      </c>
      <c r="L44" s="35">
        <f t="shared" ref="L44:L53" si="8">K44*$E$76</f>
        <v>628</v>
      </c>
      <c r="N44" s="17"/>
      <c r="O44" s="17"/>
    </row>
    <row r="45" spans="1:15" x14ac:dyDescent="0.35">
      <c r="A45" s="61"/>
      <c r="B45" s="17"/>
      <c r="C45" s="17"/>
      <c r="D45" s="10" t="s">
        <v>134</v>
      </c>
      <c r="E45" s="138">
        <f t="shared" si="4"/>
        <v>165</v>
      </c>
      <c r="F45" s="88">
        <f t="shared" ref="F45:F55" si="9">$E$7-E45</f>
        <v>785</v>
      </c>
      <c r="G45" s="27">
        <f t="shared" si="5"/>
        <v>0.87937284856341724</v>
      </c>
      <c r="H45" s="88">
        <f t="shared" si="6"/>
        <v>0.55892342069708723</v>
      </c>
      <c r="I45" s="148">
        <f t="shared" ref="I45:I53" si="10">H45</f>
        <v>0.55892342069708723</v>
      </c>
      <c r="J45" s="57">
        <v>0.8</v>
      </c>
      <c r="K45" s="95">
        <f t="shared" si="7"/>
        <v>0.70349827885073379</v>
      </c>
      <c r="L45" s="35">
        <f t="shared" si="8"/>
        <v>628</v>
      </c>
      <c r="N45" s="17"/>
      <c r="O45" s="17"/>
    </row>
    <row r="46" spans="1:15" x14ac:dyDescent="0.35">
      <c r="A46" s="61"/>
      <c r="B46" s="17"/>
      <c r="C46" s="17"/>
      <c r="D46" s="10" t="s">
        <v>135</v>
      </c>
      <c r="E46" s="138">
        <f t="shared" si="4"/>
        <v>165</v>
      </c>
      <c r="F46" s="88">
        <f t="shared" si="9"/>
        <v>785</v>
      </c>
      <c r="G46" s="27">
        <f t="shared" si="5"/>
        <v>0.87937284856341724</v>
      </c>
      <c r="H46" s="88">
        <f t="shared" si="6"/>
        <v>0.57558950087787319</v>
      </c>
      <c r="I46" s="148">
        <f t="shared" si="10"/>
        <v>0.57558950087787319</v>
      </c>
      <c r="J46" s="57">
        <v>0.8</v>
      </c>
      <c r="K46" s="95">
        <f t="shared" si="7"/>
        <v>0.7034982788507339</v>
      </c>
      <c r="L46" s="35">
        <f t="shared" si="8"/>
        <v>628.00000000000011</v>
      </c>
      <c r="N46" s="17"/>
      <c r="O46" s="17"/>
    </row>
    <row r="47" spans="1:15" x14ac:dyDescent="0.35">
      <c r="A47" s="61"/>
      <c r="B47" s="17"/>
      <c r="C47" s="17"/>
      <c r="D47" s="10" t="s">
        <v>136</v>
      </c>
      <c r="E47" s="138">
        <f t="shared" si="4"/>
        <v>163.80000000000001</v>
      </c>
      <c r="F47" s="88">
        <f t="shared" si="9"/>
        <v>786.2</v>
      </c>
      <c r="G47" s="27">
        <f t="shared" si="5"/>
        <v>0.88071711279052056</v>
      </c>
      <c r="H47" s="88">
        <f t="shared" si="6"/>
        <v>0.50454831413842671</v>
      </c>
      <c r="I47" s="148">
        <f t="shared" si="10"/>
        <v>0.50454831413842671</v>
      </c>
      <c r="J47" s="57">
        <v>0.8</v>
      </c>
      <c r="K47" s="95">
        <f t="shared" si="7"/>
        <v>0.70457369023241645</v>
      </c>
      <c r="L47" s="35">
        <f t="shared" si="8"/>
        <v>628.96</v>
      </c>
      <c r="N47" s="17"/>
      <c r="O47" s="17"/>
    </row>
    <row r="48" spans="1:15" ht="15.75" customHeight="1" x14ac:dyDescent="0.35">
      <c r="A48" s="61"/>
      <c r="B48" s="17"/>
      <c r="C48" s="17"/>
      <c r="D48" s="10" t="s">
        <v>137</v>
      </c>
      <c r="E48" s="138">
        <f t="shared" si="4"/>
        <v>164.292</v>
      </c>
      <c r="F48" s="88">
        <f t="shared" si="9"/>
        <v>785.70799999999997</v>
      </c>
      <c r="G48" s="27">
        <f t="shared" si="5"/>
        <v>0.88016596445740813</v>
      </c>
      <c r="H48" s="88">
        <f t="shared" si="6"/>
        <v>0.54896006099214645</v>
      </c>
      <c r="I48" s="148">
        <f t="shared" si="10"/>
        <v>0.54896006099214645</v>
      </c>
      <c r="J48" s="57">
        <v>0.8</v>
      </c>
      <c r="K48" s="95">
        <f t="shared" si="7"/>
        <v>0.70413277156592657</v>
      </c>
      <c r="L48" s="35">
        <f t="shared" si="8"/>
        <v>628.56640000000004</v>
      </c>
      <c r="N48" s="17"/>
      <c r="O48" s="17"/>
    </row>
    <row r="49" spans="1:15" x14ac:dyDescent="0.35">
      <c r="A49" s="19"/>
      <c r="B49" s="17"/>
      <c r="C49" s="17"/>
      <c r="D49" s="10" t="s">
        <v>138</v>
      </c>
      <c r="E49" s="138">
        <f t="shared" si="4"/>
        <v>163.80000000000001</v>
      </c>
      <c r="F49" s="88">
        <f t="shared" si="9"/>
        <v>786.2</v>
      </c>
      <c r="G49" s="27">
        <f t="shared" si="5"/>
        <v>0.88071711279052056</v>
      </c>
      <c r="H49" s="88">
        <f t="shared" si="6"/>
        <v>0.46708627077870862</v>
      </c>
      <c r="I49" s="148">
        <f t="shared" si="10"/>
        <v>0.46708627077870862</v>
      </c>
      <c r="J49" s="57">
        <v>0.8</v>
      </c>
      <c r="K49" s="95">
        <f t="shared" si="7"/>
        <v>0.70457369023241645</v>
      </c>
      <c r="L49" s="35">
        <f t="shared" si="8"/>
        <v>628.96</v>
      </c>
      <c r="N49" s="17"/>
      <c r="O49" s="17"/>
    </row>
    <row r="50" spans="1:15" x14ac:dyDescent="0.35">
      <c r="A50" s="61"/>
      <c r="B50" s="17"/>
      <c r="C50" s="17"/>
      <c r="D50" s="10" t="s">
        <v>139</v>
      </c>
      <c r="E50" s="138">
        <f t="shared" si="4"/>
        <v>163.80000000000001</v>
      </c>
      <c r="F50" s="88">
        <f t="shared" si="9"/>
        <v>786.2</v>
      </c>
      <c r="G50" s="27">
        <f t="shared" si="5"/>
        <v>0.88071711279052056</v>
      </c>
      <c r="H50" s="88">
        <f t="shared" si="6"/>
        <v>0.48628552239967393</v>
      </c>
      <c r="I50" s="148">
        <f t="shared" si="10"/>
        <v>0.48628552239967393</v>
      </c>
      <c r="J50" s="57">
        <v>0.8</v>
      </c>
      <c r="K50" s="95">
        <f t="shared" si="7"/>
        <v>0.70457369023241645</v>
      </c>
      <c r="L50" s="35">
        <f t="shared" si="8"/>
        <v>628.96</v>
      </c>
    </row>
    <row r="51" spans="1:15" x14ac:dyDescent="0.35">
      <c r="A51" s="61"/>
      <c r="B51" s="17"/>
      <c r="C51" s="17"/>
      <c r="D51" s="10" t="s">
        <v>140</v>
      </c>
      <c r="E51" s="138">
        <f t="shared" si="4"/>
        <v>163.80000000000001</v>
      </c>
      <c r="F51" s="88">
        <f t="shared" si="9"/>
        <v>786.2</v>
      </c>
      <c r="G51" s="27">
        <f t="shared" si="5"/>
        <v>0.88071711279052056</v>
      </c>
      <c r="H51" s="88">
        <f t="shared" si="6"/>
        <v>0.51039626626623857</v>
      </c>
      <c r="I51" s="148">
        <f t="shared" si="10"/>
        <v>0.51039626626623857</v>
      </c>
      <c r="J51" s="57">
        <v>0.8</v>
      </c>
      <c r="K51" s="95">
        <f t="shared" si="7"/>
        <v>0.70457369023241645</v>
      </c>
      <c r="L51" s="35">
        <f t="shared" si="8"/>
        <v>628.96</v>
      </c>
    </row>
    <row r="52" spans="1:15" ht="15" customHeight="1" x14ac:dyDescent="0.35">
      <c r="A52" s="61"/>
      <c r="B52" s="17"/>
      <c r="C52" s="17"/>
      <c r="D52" s="196" t="s">
        <v>141</v>
      </c>
      <c r="E52" s="138">
        <f t="shared" si="4"/>
        <v>163.80000000000001</v>
      </c>
      <c r="F52" s="88">
        <f t="shared" si="9"/>
        <v>786.2</v>
      </c>
      <c r="G52" s="27">
        <f t="shared" si="5"/>
        <v>0.88071711279052056</v>
      </c>
      <c r="H52" s="88">
        <f t="shared" si="6"/>
        <v>0.53484844906306916</v>
      </c>
      <c r="I52" s="148">
        <f t="shared" si="10"/>
        <v>0.53484844906306916</v>
      </c>
      <c r="J52" s="57">
        <v>0.8</v>
      </c>
      <c r="K52" s="95">
        <f t="shared" si="7"/>
        <v>0.70457369023241645</v>
      </c>
      <c r="L52" s="35">
        <f t="shared" si="8"/>
        <v>628.96</v>
      </c>
    </row>
    <row r="53" spans="1:15" ht="15" thickBot="1" x14ac:dyDescent="0.4">
      <c r="A53" s="61"/>
      <c r="B53" s="17"/>
      <c r="C53" s="17"/>
      <c r="D53" s="11" t="s">
        <v>142</v>
      </c>
      <c r="E53" s="139">
        <f t="shared" si="4"/>
        <v>163.80000000000001</v>
      </c>
      <c r="F53" s="89">
        <f t="shared" si="9"/>
        <v>786.2</v>
      </c>
      <c r="G53" s="28">
        <f t="shared" si="5"/>
        <v>0.88071711279052056</v>
      </c>
      <c r="H53" s="89">
        <f t="shared" si="6"/>
        <v>0.50713077511930171</v>
      </c>
      <c r="I53" s="149">
        <f t="shared" si="10"/>
        <v>0.50713077511930171</v>
      </c>
      <c r="J53" s="58">
        <v>0.8</v>
      </c>
      <c r="K53" s="96">
        <f t="shared" si="7"/>
        <v>0.70457369023241645</v>
      </c>
      <c r="L53" s="36">
        <f t="shared" si="8"/>
        <v>628.96</v>
      </c>
    </row>
    <row r="54" spans="1:15" ht="15" thickBot="1" x14ac:dyDescent="0.4">
      <c r="A54" s="61"/>
      <c r="B54" s="17"/>
      <c r="C54" s="17"/>
    </row>
    <row r="55" spans="1:15" ht="15" thickBot="1" x14ac:dyDescent="0.4">
      <c r="A55" s="61"/>
      <c r="B55" s="17"/>
      <c r="C55" s="17"/>
      <c r="D55" s="157" t="s">
        <v>144</v>
      </c>
      <c r="E55" s="182">
        <f t="shared" ref="E55" si="11">G23</f>
        <v>0</v>
      </c>
      <c r="F55" s="183">
        <f t="shared" si="9"/>
        <v>950</v>
      </c>
      <c r="G55" s="160">
        <f>F55/$E$76</f>
        <v>1.0642091797901228</v>
      </c>
      <c r="H55" s="183" t="e">
        <f t="shared" ref="H55" si="12">G55/H39</f>
        <v>#DIV/0!</v>
      </c>
      <c r="I55" s="184"/>
      <c r="J55" s="161"/>
      <c r="K55" s="185" t="e">
        <f t="shared" ref="K55" si="13">I55*H39*J55</f>
        <v>#DIV/0!</v>
      </c>
      <c r="L55" s="181" t="e">
        <f>K55*$E$76</f>
        <v>#DIV/0!</v>
      </c>
    </row>
    <row r="56" spans="1:15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5" ht="15.5" x14ac:dyDescent="0.35">
      <c r="C57" s="63" t="s">
        <v>45</v>
      </c>
      <c r="D57" s="17"/>
      <c r="E57" s="17"/>
      <c r="F57" s="17"/>
      <c r="G57" s="17"/>
      <c r="H57" s="17"/>
      <c r="I57" s="17"/>
      <c r="J57" s="17"/>
      <c r="K57" s="17"/>
    </row>
    <row r="58" spans="1:15" x14ac:dyDescent="0.35">
      <c r="C58" s="17"/>
      <c r="D58" s="17"/>
      <c r="E58" s="17"/>
    </row>
    <row r="59" spans="1:15" ht="15" thickBot="1" x14ac:dyDescent="0.4">
      <c r="C59" s="17"/>
      <c r="D59" s="17"/>
      <c r="E59" s="64"/>
    </row>
    <row r="60" spans="1:15" ht="43.5" x14ac:dyDescent="0.35">
      <c r="C60" s="17"/>
      <c r="D60" s="23" t="s">
        <v>105</v>
      </c>
      <c r="E60" s="26" t="s">
        <v>18</v>
      </c>
      <c r="F60" s="137" t="s">
        <v>27</v>
      </c>
      <c r="G60" s="12" t="s">
        <v>49</v>
      </c>
      <c r="H60" s="13" t="s">
        <v>81</v>
      </c>
      <c r="I60" s="9" t="s">
        <v>17</v>
      </c>
    </row>
    <row r="61" spans="1:15" x14ac:dyDescent="0.35">
      <c r="C61" s="17"/>
      <c r="D61" s="24" t="s">
        <v>133</v>
      </c>
      <c r="E61" s="229">
        <v>2</v>
      </c>
      <c r="F61" s="33">
        <f t="shared" ref="F61:F70" si="14">I12*E61/$E$76</f>
        <v>3.6967266245341107E-2</v>
      </c>
      <c r="G61" s="120">
        <f t="shared" ref="G61:G69" si="15">I44</f>
        <v>0.52587080644988404</v>
      </c>
      <c r="H61" s="123">
        <f t="shared" ref="H61:H70" si="16">E61*K44</f>
        <v>1.4069965577014676</v>
      </c>
      <c r="I61" s="30">
        <f>F61+H61</f>
        <v>1.4439638239468087</v>
      </c>
    </row>
    <row r="62" spans="1:15" x14ac:dyDescent="0.35">
      <c r="C62" s="17"/>
      <c r="D62" s="24" t="s">
        <v>134</v>
      </c>
      <c r="E62" s="229">
        <v>5</v>
      </c>
      <c r="F62" s="33">
        <f t="shared" si="14"/>
        <v>9.2418165613352768E-2</v>
      </c>
      <c r="G62" s="120">
        <f t="shared" si="15"/>
        <v>0.55892342069708723</v>
      </c>
      <c r="H62" s="123">
        <f t="shared" si="16"/>
        <v>3.517491394253669</v>
      </c>
      <c r="I62" s="30">
        <f t="shared" ref="I62:I72" si="17">F62+H62</f>
        <v>3.6099095598670217</v>
      </c>
    </row>
    <row r="63" spans="1:15" x14ac:dyDescent="0.35">
      <c r="C63" s="17"/>
      <c r="D63" s="24" t="s">
        <v>135</v>
      </c>
      <c r="E63" s="229">
        <v>118</v>
      </c>
      <c r="F63" s="33">
        <f t="shared" si="14"/>
        <v>2.1810687084751255</v>
      </c>
      <c r="G63" s="120">
        <f t="shared" si="15"/>
        <v>0.57558950087787319</v>
      </c>
      <c r="H63" s="123">
        <f t="shared" si="16"/>
        <v>83.012796904386605</v>
      </c>
      <c r="I63" s="30">
        <f t="shared" si="17"/>
        <v>85.193865612861728</v>
      </c>
    </row>
    <row r="64" spans="1:15" x14ac:dyDescent="0.35">
      <c r="C64" s="17"/>
      <c r="D64" s="24" t="s">
        <v>136</v>
      </c>
      <c r="E64" s="229">
        <v>8</v>
      </c>
      <c r="F64" s="33">
        <f t="shared" si="14"/>
        <v>0.1467936535996818</v>
      </c>
      <c r="G64" s="120">
        <f t="shared" si="15"/>
        <v>0.50454831413842671</v>
      </c>
      <c r="H64" s="123">
        <f t="shared" si="16"/>
        <v>5.6365895218593316</v>
      </c>
      <c r="I64" s="30">
        <f t="shared" si="17"/>
        <v>5.7833831754590133</v>
      </c>
    </row>
    <row r="65" spans="3:10" x14ac:dyDescent="0.35">
      <c r="C65" s="17"/>
      <c r="D65" s="24" t="s">
        <v>137</v>
      </c>
      <c r="E65" s="229">
        <v>234</v>
      </c>
      <c r="F65" s="33">
        <f t="shared" si="14"/>
        <v>4.3066112387855213</v>
      </c>
      <c r="G65" s="120">
        <f t="shared" si="15"/>
        <v>0.54896006099214645</v>
      </c>
      <c r="H65" s="123">
        <f t="shared" si="16"/>
        <v>164.76706854642683</v>
      </c>
      <c r="I65" s="30">
        <f t="shared" si="17"/>
        <v>169.07367978521233</v>
      </c>
    </row>
    <row r="66" spans="3:10" x14ac:dyDescent="0.35">
      <c r="C66" s="17"/>
      <c r="D66" s="24" t="s">
        <v>138</v>
      </c>
      <c r="E66" s="229">
        <v>4</v>
      </c>
      <c r="F66" s="33">
        <f t="shared" si="14"/>
        <v>7.33968267998409E-2</v>
      </c>
      <c r="G66" s="120">
        <f t="shared" si="15"/>
        <v>0.46708627077870862</v>
      </c>
      <c r="H66" s="123">
        <f t="shared" si="16"/>
        <v>2.8182947609296658</v>
      </c>
      <c r="I66" s="30">
        <f t="shared" si="17"/>
        <v>2.8916915877295066</v>
      </c>
    </row>
    <row r="67" spans="3:10" x14ac:dyDescent="0.35">
      <c r="C67" s="17"/>
      <c r="D67" s="24" t="s">
        <v>139</v>
      </c>
      <c r="E67" s="229">
        <v>15</v>
      </c>
      <c r="F67" s="33">
        <f t="shared" si="14"/>
        <v>0.27523810049940339</v>
      </c>
      <c r="G67" s="120">
        <f t="shared" si="15"/>
        <v>0.48628552239967393</v>
      </c>
      <c r="H67" s="123">
        <f t="shared" si="16"/>
        <v>10.568605353486246</v>
      </c>
      <c r="I67" s="30">
        <f t="shared" si="17"/>
        <v>10.843843453985651</v>
      </c>
    </row>
    <row r="68" spans="3:10" x14ac:dyDescent="0.35">
      <c r="C68" s="17"/>
      <c r="D68" s="24" t="s">
        <v>140</v>
      </c>
      <c r="E68" s="229">
        <v>6</v>
      </c>
      <c r="F68" s="33">
        <f t="shared" si="14"/>
        <v>0.11009524019976134</v>
      </c>
      <c r="G68" s="120">
        <f t="shared" si="15"/>
        <v>0.51039626626623857</v>
      </c>
      <c r="H68" s="123">
        <f t="shared" si="16"/>
        <v>4.2274421413944987</v>
      </c>
      <c r="I68" s="30">
        <f t="shared" si="17"/>
        <v>4.3375373815942604</v>
      </c>
    </row>
    <row r="69" spans="3:10" x14ac:dyDescent="0.35">
      <c r="C69" s="17"/>
      <c r="D69" s="208" t="s">
        <v>141</v>
      </c>
      <c r="E69" s="229">
        <v>235</v>
      </c>
      <c r="F69" s="33">
        <f t="shared" si="14"/>
        <v>4.3120635744906526</v>
      </c>
      <c r="G69" s="120">
        <f t="shared" si="15"/>
        <v>0.53484844906306916</v>
      </c>
      <c r="H69" s="123">
        <f t="shared" si="16"/>
        <v>165.57481720461786</v>
      </c>
      <c r="I69" s="30">
        <f t="shared" si="17"/>
        <v>169.88688077910851</v>
      </c>
    </row>
    <row r="70" spans="3:10" ht="15" thickBot="1" x14ac:dyDescent="0.4">
      <c r="C70" s="17"/>
      <c r="D70" s="25" t="s">
        <v>142</v>
      </c>
      <c r="E70" s="230">
        <v>340</v>
      </c>
      <c r="F70" s="119">
        <f t="shared" si="14"/>
        <v>6.2387302779864759</v>
      </c>
      <c r="G70" s="121">
        <f>I53</f>
        <v>0.50713077511930171</v>
      </c>
      <c r="H70" s="124">
        <f t="shared" si="16"/>
        <v>239.55505467902159</v>
      </c>
      <c r="I70" s="32">
        <f t="shared" si="17"/>
        <v>245.79378495700806</v>
      </c>
    </row>
    <row r="71" spans="3:10" ht="15" thickBot="1" x14ac:dyDescent="0.4">
      <c r="C71" s="17"/>
    </row>
    <row r="72" spans="3:10" ht="15" thickBot="1" x14ac:dyDescent="0.4">
      <c r="C72" s="17"/>
      <c r="D72" s="157" t="s">
        <v>144</v>
      </c>
      <c r="E72" s="178"/>
      <c r="F72" s="179">
        <f>I23*E72/$E$76</f>
        <v>0</v>
      </c>
      <c r="G72" s="186">
        <f t="shared" ref="G72" si="18">I55</f>
        <v>0</v>
      </c>
      <c r="H72" s="187" t="e">
        <f t="shared" ref="H72" si="19">E72*K55</f>
        <v>#DIV/0!</v>
      </c>
      <c r="I72" s="163" t="e">
        <f t="shared" si="17"/>
        <v>#DIV/0!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95</v>
      </c>
    </row>
    <row r="76" spans="3:10" x14ac:dyDescent="0.35">
      <c r="D76" s="99" t="s">
        <v>70</v>
      </c>
      <c r="E76" s="100">
        <f>(7.48*43560)/365</f>
        <v>892.68164383561657</v>
      </c>
      <c r="F76" s="21" t="s">
        <v>71</v>
      </c>
    </row>
    <row r="77" spans="3:10" x14ac:dyDescent="0.35">
      <c r="D77" s="99" t="s">
        <v>70</v>
      </c>
      <c r="E77" s="100">
        <f>43560/(365*24*3600)</f>
        <v>1.3812785388127853E-3</v>
      </c>
      <c r="F77" s="21" t="s">
        <v>72</v>
      </c>
    </row>
  </sheetData>
  <sheetProtection algorithmName="SHA-512" hashValue="vXTlg6Rkh6uKv6VaZOjnEwsH7U+HYBBsEg1FAwagg043aCpfBuDctEXiU+tk2ccDHmP3prm4ueQj5A6QPAoJng==" saltValue="5t/7IUUDzwBeqlcUyqYLXg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L77"/>
  <sheetViews>
    <sheetView topLeftCell="A50" zoomScaleNormal="100" zoomScaleSheetLayoutView="100" workbookViewId="0">
      <selection activeCell="F40" sqref="F40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6384" width="9.1796875" style="21"/>
  </cols>
  <sheetData>
    <row r="1" spans="1:12" x14ac:dyDescent="0.35">
      <c r="G1" s="134"/>
    </row>
    <row r="2" spans="1:12" x14ac:dyDescent="0.35">
      <c r="A2" s="133" t="s">
        <v>108</v>
      </c>
      <c r="G2" s="134"/>
    </row>
    <row r="3" spans="1:12" x14ac:dyDescent="0.35">
      <c r="A3" s="133" t="s">
        <v>107</v>
      </c>
      <c r="G3" s="134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5" x14ac:dyDescent="0.35">
      <c r="A7" s="17"/>
      <c r="B7" s="17"/>
      <c r="C7" s="63" t="s">
        <v>60</v>
      </c>
      <c r="D7" s="17"/>
      <c r="E7" s="84">
        <v>235</v>
      </c>
      <c r="F7" s="17"/>
      <c r="G7" s="17"/>
      <c r="H7" s="17"/>
      <c r="I7" s="17"/>
      <c r="J7" s="17"/>
      <c r="K7" s="17"/>
      <c r="L7" s="17"/>
    </row>
    <row r="8" spans="1:1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</row>
    <row r="11" spans="1:12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</row>
    <row r="12" spans="1:12" ht="15" customHeight="1" x14ac:dyDescent="0.35">
      <c r="A12" s="61"/>
      <c r="B12" s="19"/>
      <c r="C12" s="17"/>
      <c r="D12" s="10" t="s">
        <v>133</v>
      </c>
      <c r="E12" s="53"/>
      <c r="F12" s="54"/>
      <c r="G12" s="29">
        <f>E12*F12</f>
        <v>0</v>
      </c>
      <c r="H12" s="57"/>
      <c r="I12" s="35">
        <f>G12*H12</f>
        <v>0</v>
      </c>
      <c r="K12" s="17"/>
      <c r="L12" s="17"/>
    </row>
    <row r="13" spans="1:12" ht="15" customHeight="1" x14ac:dyDescent="0.35">
      <c r="A13" s="61"/>
      <c r="B13" s="19"/>
      <c r="C13" s="17"/>
      <c r="D13" s="10" t="s">
        <v>134</v>
      </c>
      <c r="E13" s="53"/>
      <c r="F13" s="54"/>
      <c r="G13" s="29">
        <f t="shared" ref="G13:G23" si="0">E13*F13</f>
        <v>0</v>
      </c>
      <c r="H13" s="57"/>
      <c r="I13" s="35">
        <f t="shared" ref="I13:I23" si="1">G13*H13</f>
        <v>0</v>
      </c>
      <c r="K13" s="17"/>
      <c r="L13" s="17"/>
    </row>
    <row r="14" spans="1:12" x14ac:dyDescent="0.35">
      <c r="A14" s="62"/>
      <c r="B14" s="17"/>
      <c r="C14" s="17"/>
      <c r="D14" s="10" t="s">
        <v>135</v>
      </c>
      <c r="E14" s="53"/>
      <c r="F14" s="54"/>
      <c r="G14" s="29">
        <f t="shared" si="0"/>
        <v>0</v>
      </c>
      <c r="H14" s="57"/>
      <c r="I14" s="35">
        <f t="shared" si="1"/>
        <v>0</v>
      </c>
      <c r="K14" s="17"/>
      <c r="L14" s="17"/>
    </row>
    <row r="15" spans="1:12" x14ac:dyDescent="0.35">
      <c r="A15" s="62"/>
      <c r="B15" s="17"/>
      <c r="C15" s="17"/>
      <c r="D15" s="20" t="s">
        <v>136</v>
      </c>
      <c r="E15" s="53"/>
      <c r="F15" s="54"/>
      <c r="G15" s="29">
        <f t="shared" si="0"/>
        <v>0</v>
      </c>
      <c r="H15" s="57"/>
      <c r="I15" s="35">
        <f t="shared" si="1"/>
        <v>0</v>
      </c>
      <c r="K15" s="17"/>
      <c r="L15" s="17"/>
    </row>
    <row r="16" spans="1:12" ht="15" customHeight="1" x14ac:dyDescent="0.35">
      <c r="A16" s="62"/>
      <c r="B16" s="17"/>
      <c r="C16" s="17"/>
      <c r="D16" s="10" t="s">
        <v>137</v>
      </c>
      <c r="E16" s="53"/>
      <c r="F16" s="54"/>
      <c r="G16" s="29">
        <f t="shared" si="0"/>
        <v>0</v>
      </c>
      <c r="H16" s="57"/>
      <c r="I16" s="35">
        <f t="shared" si="1"/>
        <v>0</v>
      </c>
      <c r="K16" s="17"/>
      <c r="L16" s="17"/>
    </row>
    <row r="17" spans="1:12" ht="15" customHeight="1" x14ac:dyDescent="0.35">
      <c r="A17" s="62"/>
      <c r="B17" s="17"/>
      <c r="C17" s="17"/>
      <c r="D17" s="10" t="s">
        <v>138</v>
      </c>
      <c r="E17" s="53"/>
      <c r="F17" s="54"/>
      <c r="G17" s="29">
        <f t="shared" si="0"/>
        <v>0</v>
      </c>
      <c r="H17" s="57"/>
      <c r="I17" s="35">
        <f t="shared" si="1"/>
        <v>0</v>
      </c>
      <c r="K17" s="17"/>
      <c r="L17" s="17"/>
    </row>
    <row r="18" spans="1:12" x14ac:dyDescent="0.35">
      <c r="A18" s="62"/>
      <c r="B18" s="17"/>
      <c r="C18" s="17"/>
      <c r="D18" s="10" t="s">
        <v>139</v>
      </c>
      <c r="E18" s="53"/>
      <c r="F18" s="54"/>
      <c r="G18" s="29">
        <f t="shared" si="0"/>
        <v>0</v>
      </c>
      <c r="H18" s="57"/>
      <c r="I18" s="35">
        <f t="shared" si="1"/>
        <v>0</v>
      </c>
      <c r="K18" s="17"/>
      <c r="L18" s="17"/>
    </row>
    <row r="19" spans="1:12" x14ac:dyDescent="0.35">
      <c r="A19" s="62"/>
      <c r="B19" s="17"/>
      <c r="C19" s="17"/>
      <c r="D19" s="10" t="s">
        <v>140</v>
      </c>
      <c r="E19" s="53"/>
      <c r="F19" s="54"/>
      <c r="G19" s="29">
        <f t="shared" si="0"/>
        <v>0</v>
      </c>
      <c r="H19" s="57"/>
      <c r="I19" s="35">
        <f t="shared" si="1"/>
        <v>0</v>
      </c>
      <c r="K19" s="17"/>
      <c r="L19" s="17"/>
    </row>
    <row r="20" spans="1:12" x14ac:dyDescent="0.35">
      <c r="A20" s="62"/>
      <c r="B20" s="17"/>
      <c r="C20" s="17"/>
      <c r="D20" s="196" t="s">
        <v>141</v>
      </c>
      <c r="E20" s="205"/>
      <c r="F20" s="206"/>
      <c r="G20" s="29">
        <f t="shared" ref="G20" si="2">E20*F20</f>
        <v>0</v>
      </c>
      <c r="H20" s="57"/>
      <c r="I20" s="35">
        <f t="shared" ref="I20" si="3">G20*H20</f>
        <v>0</v>
      </c>
      <c r="K20" s="17"/>
      <c r="L20" s="17"/>
    </row>
    <row r="21" spans="1:12" ht="15.75" customHeight="1" thickBot="1" x14ac:dyDescent="0.4">
      <c r="A21" s="62"/>
      <c r="B21" s="17"/>
      <c r="C21" s="17"/>
      <c r="D21" s="11" t="s">
        <v>142</v>
      </c>
      <c r="E21" s="55"/>
      <c r="F21" s="56"/>
      <c r="G21" s="29">
        <f t="shared" si="0"/>
        <v>0</v>
      </c>
      <c r="H21" s="58"/>
      <c r="I21" s="36">
        <f t="shared" si="1"/>
        <v>0</v>
      </c>
      <c r="K21" s="17"/>
      <c r="L21" s="17"/>
    </row>
    <row r="22" spans="1:12" ht="15.75" customHeight="1" thickBot="1" x14ac:dyDescent="0.4">
      <c r="A22" s="62"/>
      <c r="B22" s="17"/>
      <c r="C22" s="17"/>
      <c r="D22"/>
      <c r="E22"/>
      <c r="F22"/>
      <c r="G22"/>
      <c r="H22"/>
      <c r="I22"/>
      <c r="K22" s="17"/>
      <c r="L22" s="17"/>
    </row>
    <row r="23" spans="1:12" ht="15" customHeight="1" thickBot="1" x14ac:dyDescent="0.4">
      <c r="A23" s="62"/>
      <c r="B23" s="17"/>
      <c r="C23" s="17"/>
      <c r="D23" s="157" t="s">
        <v>144</v>
      </c>
      <c r="E23" s="158">
        <v>62</v>
      </c>
      <c r="F23" s="239">
        <v>2.73</v>
      </c>
      <c r="G23" s="162">
        <f t="shared" si="0"/>
        <v>169.26</v>
      </c>
      <c r="H23" s="161">
        <v>0.1</v>
      </c>
      <c r="I23" s="181">
        <f t="shared" si="1"/>
        <v>16.925999999999998</v>
      </c>
      <c r="K23" s="17"/>
      <c r="L23" s="17"/>
    </row>
    <row r="24" spans="1:12" ht="15" customHeight="1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</row>
    <row r="25" spans="1:12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</row>
    <row r="27" spans="1:12" ht="58" x14ac:dyDescent="0.35">
      <c r="A27" s="61"/>
      <c r="B27" s="17"/>
      <c r="C27" s="17"/>
      <c r="D27" s="135" t="s">
        <v>105</v>
      </c>
      <c r="E27" s="12" t="s">
        <v>57</v>
      </c>
      <c r="F27" s="13" t="s">
        <v>16</v>
      </c>
      <c r="G27" s="13" t="s">
        <v>85</v>
      </c>
      <c r="H27" s="9" t="s">
        <v>114</v>
      </c>
      <c r="I27" s="17"/>
      <c r="J27" s="17"/>
    </row>
    <row r="28" spans="1:12" x14ac:dyDescent="0.35">
      <c r="A28" s="61"/>
      <c r="B28" s="17"/>
      <c r="C28" s="17"/>
      <c r="D28" s="10" t="s">
        <v>133</v>
      </c>
      <c r="E28" s="53"/>
      <c r="F28" s="57"/>
      <c r="G28" s="29" t="e">
        <f>E28/F28</f>
        <v>#DIV/0!</v>
      </c>
      <c r="H28" s="35" t="e">
        <f>G28/12</f>
        <v>#DIV/0!</v>
      </c>
      <c r="I28" s="17"/>
      <c r="J28" s="17"/>
    </row>
    <row r="29" spans="1:12" x14ac:dyDescent="0.35">
      <c r="A29" s="17"/>
      <c r="B29" s="17"/>
      <c r="C29" s="17"/>
      <c r="D29" s="10" t="s">
        <v>134</v>
      </c>
      <c r="E29" s="53"/>
      <c r="F29" s="57"/>
      <c r="G29" s="29" t="e">
        <f t="shared" ref="G29:G39" si="4">E29/F29</f>
        <v>#DIV/0!</v>
      </c>
      <c r="H29" s="35" t="e">
        <f t="shared" ref="H29:H39" si="5">G29/12</f>
        <v>#DIV/0!</v>
      </c>
      <c r="I29" s="17"/>
      <c r="J29" s="17"/>
    </row>
    <row r="30" spans="1:12" x14ac:dyDescent="0.35">
      <c r="A30" s="17"/>
      <c r="B30" s="17"/>
      <c r="C30" s="17"/>
      <c r="D30" s="10" t="s">
        <v>135</v>
      </c>
      <c r="E30" s="53"/>
      <c r="F30" s="57"/>
      <c r="G30" s="29" t="e">
        <f t="shared" si="4"/>
        <v>#DIV/0!</v>
      </c>
      <c r="H30" s="35" t="e">
        <f t="shared" si="5"/>
        <v>#DIV/0!</v>
      </c>
      <c r="I30" s="17"/>
      <c r="J30" s="17"/>
    </row>
    <row r="31" spans="1:12" x14ac:dyDescent="0.35">
      <c r="A31" s="17"/>
      <c r="B31" s="17"/>
      <c r="C31" s="17"/>
      <c r="D31" s="10" t="s">
        <v>136</v>
      </c>
      <c r="E31" s="53"/>
      <c r="F31" s="57"/>
      <c r="G31" s="29" t="e">
        <f t="shared" si="4"/>
        <v>#DIV/0!</v>
      </c>
      <c r="H31" s="35" t="e">
        <f t="shared" si="5"/>
        <v>#DIV/0!</v>
      </c>
      <c r="I31" s="17"/>
      <c r="J31" s="17"/>
    </row>
    <row r="32" spans="1:12" x14ac:dyDescent="0.35">
      <c r="A32" s="17"/>
      <c r="B32" s="17"/>
      <c r="C32" s="17"/>
      <c r="D32" s="10" t="s">
        <v>137</v>
      </c>
      <c r="E32" s="53"/>
      <c r="F32" s="57"/>
      <c r="G32" s="29" t="e">
        <f t="shared" si="4"/>
        <v>#DIV/0!</v>
      </c>
      <c r="H32" s="35" t="e">
        <f t="shared" si="5"/>
        <v>#DIV/0!</v>
      </c>
      <c r="I32" s="17"/>
      <c r="J32" s="17"/>
    </row>
    <row r="33" spans="1:12" x14ac:dyDescent="0.35">
      <c r="A33" s="17"/>
      <c r="B33" s="17"/>
      <c r="C33" s="17"/>
      <c r="D33" s="10" t="s">
        <v>138</v>
      </c>
      <c r="E33" s="53"/>
      <c r="F33" s="57"/>
      <c r="G33" s="29" t="e">
        <f t="shared" si="4"/>
        <v>#DIV/0!</v>
      </c>
      <c r="H33" s="35" t="e">
        <f t="shared" si="5"/>
        <v>#DIV/0!</v>
      </c>
      <c r="I33" s="17"/>
      <c r="J33" s="17"/>
    </row>
    <row r="34" spans="1:12" x14ac:dyDescent="0.35">
      <c r="A34" s="17"/>
      <c r="B34" s="17"/>
      <c r="C34" s="17"/>
      <c r="D34" s="10" t="s">
        <v>139</v>
      </c>
      <c r="E34" s="53"/>
      <c r="F34" s="57"/>
      <c r="G34" s="29" t="e">
        <f t="shared" si="4"/>
        <v>#DIV/0!</v>
      </c>
      <c r="H34" s="35" t="e">
        <f t="shared" si="5"/>
        <v>#DIV/0!</v>
      </c>
      <c r="I34" s="17"/>
      <c r="J34" s="17"/>
    </row>
    <row r="35" spans="1:12" x14ac:dyDescent="0.35">
      <c r="A35" s="17"/>
      <c r="B35" s="17"/>
      <c r="C35" s="17"/>
      <c r="D35" s="10" t="s">
        <v>140</v>
      </c>
      <c r="E35" s="53"/>
      <c r="F35" s="57"/>
      <c r="G35" s="29" t="e">
        <f t="shared" si="4"/>
        <v>#DIV/0!</v>
      </c>
      <c r="H35" s="35" t="e">
        <f t="shared" si="5"/>
        <v>#DIV/0!</v>
      </c>
      <c r="I35" s="17"/>
      <c r="J35" s="17"/>
      <c r="K35" s="101"/>
      <c r="L35" s="101"/>
    </row>
    <row r="36" spans="1:12" x14ac:dyDescent="0.35">
      <c r="A36" s="17"/>
      <c r="B36" s="17"/>
      <c r="C36" s="17"/>
      <c r="D36" s="196" t="s">
        <v>141</v>
      </c>
      <c r="E36" s="205"/>
      <c r="F36" s="207"/>
      <c r="G36" s="29" t="e">
        <f t="shared" ref="G36" si="6">E36/F36</f>
        <v>#DIV/0!</v>
      </c>
      <c r="H36" s="35" t="e">
        <f t="shared" ref="H36" si="7">G36/12</f>
        <v>#DIV/0!</v>
      </c>
      <c r="I36" s="17"/>
      <c r="J36" s="17"/>
      <c r="K36" s="101"/>
      <c r="L36" s="101"/>
    </row>
    <row r="37" spans="1:12" ht="15" thickBot="1" x14ac:dyDescent="0.4">
      <c r="A37" s="17"/>
      <c r="B37" s="17"/>
      <c r="C37" s="17"/>
      <c r="D37" s="11" t="s">
        <v>142</v>
      </c>
      <c r="E37" s="55"/>
      <c r="F37" s="58"/>
      <c r="G37" s="31" t="e">
        <f t="shared" si="4"/>
        <v>#DIV/0!</v>
      </c>
      <c r="H37" s="36" t="e">
        <f t="shared" si="5"/>
        <v>#DIV/0!</v>
      </c>
      <c r="I37" s="17"/>
      <c r="J37" s="17"/>
    </row>
    <row r="38" spans="1:12" ht="15" thickBot="1" x14ac:dyDescent="0.4">
      <c r="A38" s="17"/>
      <c r="B38" s="17"/>
      <c r="C38" s="17"/>
      <c r="D38"/>
      <c r="E38"/>
      <c r="F38"/>
      <c r="G38"/>
      <c r="H38"/>
      <c r="I38" s="17"/>
      <c r="J38" s="17"/>
    </row>
    <row r="39" spans="1:12" ht="15" thickBot="1" x14ac:dyDescent="0.4">
      <c r="A39" s="17"/>
      <c r="B39" s="17"/>
      <c r="C39" s="17"/>
      <c r="D39" s="157" t="s">
        <v>144</v>
      </c>
      <c r="E39" s="158">
        <v>15.24</v>
      </c>
      <c r="F39" s="161">
        <v>0.75</v>
      </c>
      <c r="G39" s="162">
        <f t="shared" si="4"/>
        <v>20.32</v>
      </c>
      <c r="H39" s="181">
        <f t="shared" si="5"/>
        <v>1.6933333333333334</v>
      </c>
      <c r="I39" s="17"/>
      <c r="J39" s="17"/>
    </row>
    <row r="40" spans="1:1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</row>
    <row r="42" spans="1:12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</row>
    <row r="43" spans="1:12" ht="43.5" x14ac:dyDescent="0.35">
      <c r="A43" s="17"/>
      <c r="B43" s="17"/>
      <c r="C43" s="17"/>
      <c r="D43" s="23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68</v>
      </c>
      <c r="L43" s="9" t="s">
        <v>69</v>
      </c>
    </row>
    <row r="44" spans="1:12" x14ac:dyDescent="0.35">
      <c r="A44" s="19"/>
      <c r="B44" s="17"/>
      <c r="C44" s="17"/>
      <c r="D44" s="10" t="s">
        <v>133</v>
      </c>
      <c r="E44" s="138">
        <f t="shared" ref="E44:E52" si="8">G12</f>
        <v>0</v>
      </c>
      <c r="F44" s="88">
        <f>$E$7-E44</f>
        <v>235</v>
      </c>
      <c r="G44" s="27">
        <f t="shared" ref="G44:G53" si="9">F44/$E$76</f>
        <v>0.26325174447439881</v>
      </c>
      <c r="H44" s="90" t="e">
        <f t="shared" ref="H44:H52" si="10">G44/H28</f>
        <v>#DIV/0!</v>
      </c>
      <c r="I44" s="92"/>
      <c r="J44" s="57"/>
      <c r="K44" s="95" t="e">
        <f t="shared" ref="K44:K52" si="11">I44*H28*J44</f>
        <v>#DIV/0!</v>
      </c>
      <c r="L44" s="35" t="e">
        <f t="shared" ref="L44:L53" si="12">K44*$E$76</f>
        <v>#DIV/0!</v>
      </c>
    </row>
    <row r="45" spans="1:12" x14ac:dyDescent="0.35">
      <c r="A45" s="61"/>
      <c r="B45" s="17"/>
      <c r="C45" s="17"/>
      <c r="D45" s="10" t="s">
        <v>134</v>
      </c>
      <c r="E45" s="138">
        <f t="shared" si="8"/>
        <v>0</v>
      </c>
      <c r="F45" s="88">
        <f t="shared" ref="F45:F55" si="13">$E$7-E45</f>
        <v>235</v>
      </c>
      <c r="G45" s="27">
        <f t="shared" si="9"/>
        <v>0.26325174447439881</v>
      </c>
      <c r="H45" s="90" t="e">
        <f t="shared" si="10"/>
        <v>#DIV/0!</v>
      </c>
      <c r="I45" s="92"/>
      <c r="J45" s="57"/>
      <c r="K45" s="95" t="e">
        <f t="shared" si="11"/>
        <v>#DIV/0!</v>
      </c>
      <c r="L45" s="35" t="e">
        <f t="shared" si="12"/>
        <v>#DIV/0!</v>
      </c>
    </row>
    <row r="46" spans="1:12" x14ac:dyDescent="0.35">
      <c r="A46" s="61"/>
      <c r="B46" s="17"/>
      <c r="C46" s="17"/>
      <c r="D46" s="10" t="s">
        <v>135</v>
      </c>
      <c r="E46" s="138">
        <f t="shared" si="8"/>
        <v>0</v>
      </c>
      <c r="F46" s="88">
        <f t="shared" si="13"/>
        <v>235</v>
      </c>
      <c r="G46" s="27">
        <f t="shared" si="9"/>
        <v>0.26325174447439881</v>
      </c>
      <c r="H46" s="90" t="e">
        <f t="shared" si="10"/>
        <v>#DIV/0!</v>
      </c>
      <c r="I46" s="92"/>
      <c r="J46" s="57"/>
      <c r="K46" s="95" t="e">
        <f t="shared" si="11"/>
        <v>#DIV/0!</v>
      </c>
      <c r="L46" s="35" t="e">
        <f t="shared" si="12"/>
        <v>#DIV/0!</v>
      </c>
    </row>
    <row r="47" spans="1:12" x14ac:dyDescent="0.35">
      <c r="A47" s="61"/>
      <c r="B47" s="17"/>
      <c r="C47" s="17"/>
      <c r="D47" s="10" t="s">
        <v>136</v>
      </c>
      <c r="E47" s="138">
        <f t="shared" si="8"/>
        <v>0</v>
      </c>
      <c r="F47" s="88">
        <f t="shared" si="13"/>
        <v>235</v>
      </c>
      <c r="G47" s="27">
        <f t="shared" si="9"/>
        <v>0.26325174447439881</v>
      </c>
      <c r="H47" s="90" t="e">
        <f t="shared" si="10"/>
        <v>#DIV/0!</v>
      </c>
      <c r="I47" s="92"/>
      <c r="J47" s="57"/>
      <c r="K47" s="95" t="e">
        <f t="shared" si="11"/>
        <v>#DIV/0!</v>
      </c>
      <c r="L47" s="35" t="e">
        <f t="shared" si="12"/>
        <v>#DIV/0!</v>
      </c>
    </row>
    <row r="48" spans="1:12" ht="15" customHeight="1" x14ac:dyDescent="0.35">
      <c r="A48" s="61"/>
      <c r="B48" s="17"/>
      <c r="C48" s="17"/>
      <c r="D48" s="10" t="s">
        <v>137</v>
      </c>
      <c r="E48" s="138">
        <f t="shared" si="8"/>
        <v>0</v>
      </c>
      <c r="F48" s="88">
        <f t="shared" si="13"/>
        <v>235</v>
      </c>
      <c r="G48" s="27">
        <f t="shared" si="9"/>
        <v>0.26325174447439881</v>
      </c>
      <c r="H48" s="90" t="e">
        <f t="shared" si="10"/>
        <v>#DIV/0!</v>
      </c>
      <c r="I48" s="92"/>
      <c r="J48" s="57"/>
      <c r="K48" s="95" t="e">
        <f t="shared" si="11"/>
        <v>#DIV/0!</v>
      </c>
      <c r="L48" s="35" t="e">
        <f t="shared" si="12"/>
        <v>#DIV/0!</v>
      </c>
    </row>
    <row r="49" spans="1:12" x14ac:dyDescent="0.35">
      <c r="A49" s="19"/>
      <c r="B49" s="17"/>
      <c r="C49" s="17"/>
      <c r="D49" s="10" t="s">
        <v>138</v>
      </c>
      <c r="E49" s="138">
        <f t="shared" si="8"/>
        <v>0</v>
      </c>
      <c r="F49" s="88">
        <f t="shared" si="13"/>
        <v>235</v>
      </c>
      <c r="G49" s="27">
        <f t="shared" si="9"/>
        <v>0.26325174447439881</v>
      </c>
      <c r="H49" s="90" t="e">
        <f t="shared" si="10"/>
        <v>#DIV/0!</v>
      </c>
      <c r="I49" s="92"/>
      <c r="J49" s="57"/>
      <c r="K49" s="95" t="e">
        <f t="shared" si="11"/>
        <v>#DIV/0!</v>
      </c>
      <c r="L49" s="35" t="e">
        <f t="shared" si="12"/>
        <v>#DIV/0!</v>
      </c>
    </row>
    <row r="50" spans="1:12" x14ac:dyDescent="0.35">
      <c r="A50" s="61"/>
      <c r="B50" s="17"/>
      <c r="C50" s="17"/>
      <c r="D50" s="10" t="s">
        <v>139</v>
      </c>
      <c r="E50" s="138">
        <f t="shared" si="8"/>
        <v>0</v>
      </c>
      <c r="F50" s="88">
        <f t="shared" si="13"/>
        <v>235</v>
      </c>
      <c r="G50" s="27">
        <f t="shared" si="9"/>
        <v>0.26325174447439881</v>
      </c>
      <c r="H50" s="90" t="e">
        <f t="shared" si="10"/>
        <v>#DIV/0!</v>
      </c>
      <c r="I50" s="92"/>
      <c r="J50" s="57"/>
      <c r="K50" s="95" t="e">
        <f t="shared" si="11"/>
        <v>#DIV/0!</v>
      </c>
      <c r="L50" s="35" t="e">
        <f t="shared" si="12"/>
        <v>#DIV/0!</v>
      </c>
    </row>
    <row r="51" spans="1:12" x14ac:dyDescent="0.35">
      <c r="A51" s="61"/>
      <c r="B51" s="17"/>
      <c r="C51" s="17"/>
      <c r="D51" s="10" t="s">
        <v>140</v>
      </c>
      <c r="E51" s="138">
        <f t="shared" si="8"/>
        <v>0</v>
      </c>
      <c r="F51" s="88">
        <f t="shared" si="13"/>
        <v>235</v>
      </c>
      <c r="G51" s="27">
        <f t="shared" si="9"/>
        <v>0.26325174447439881</v>
      </c>
      <c r="H51" s="90" t="e">
        <f t="shared" si="10"/>
        <v>#DIV/0!</v>
      </c>
      <c r="I51" s="92"/>
      <c r="J51" s="57"/>
      <c r="K51" s="95" t="e">
        <f t="shared" si="11"/>
        <v>#DIV/0!</v>
      </c>
      <c r="L51" s="35" t="e">
        <f t="shared" si="12"/>
        <v>#DIV/0!</v>
      </c>
    </row>
    <row r="52" spans="1:12" x14ac:dyDescent="0.35">
      <c r="A52" s="61"/>
      <c r="B52" s="17"/>
      <c r="C52" s="17"/>
      <c r="D52" s="196" t="s">
        <v>141</v>
      </c>
      <c r="E52" s="138">
        <f t="shared" si="8"/>
        <v>0</v>
      </c>
      <c r="F52" s="88">
        <f t="shared" ref="F52" si="14">$E$7-E52</f>
        <v>235</v>
      </c>
      <c r="G52" s="27">
        <f t="shared" si="9"/>
        <v>0.26325174447439881</v>
      </c>
      <c r="H52" s="90" t="e">
        <f t="shared" si="10"/>
        <v>#DIV/0!</v>
      </c>
      <c r="I52" s="92"/>
      <c r="J52" s="57"/>
      <c r="K52" s="95" t="e">
        <f t="shared" si="11"/>
        <v>#DIV/0!</v>
      </c>
      <c r="L52" s="35" t="e">
        <f t="shared" si="12"/>
        <v>#DIV/0!</v>
      </c>
    </row>
    <row r="53" spans="1:12" ht="15.75" customHeight="1" thickBot="1" x14ac:dyDescent="0.4">
      <c r="A53" s="61"/>
      <c r="B53" s="17"/>
      <c r="C53" s="17"/>
      <c r="D53" s="11" t="s">
        <v>142</v>
      </c>
      <c r="E53" s="139">
        <f t="shared" ref="E53" si="15">G21</f>
        <v>0</v>
      </c>
      <c r="F53" s="89">
        <f t="shared" si="13"/>
        <v>235</v>
      </c>
      <c r="G53" s="28">
        <f t="shared" si="9"/>
        <v>0.26325174447439881</v>
      </c>
      <c r="H53" s="91" t="e">
        <f t="shared" ref="H53" si="16">G53/H37</f>
        <v>#DIV/0!</v>
      </c>
      <c r="I53" s="93"/>
      <c r="J53" s="58"/>
      <c r="K53" s="96" t="e">
        <f t="shared" ref="K53" si="17">I53*H37*J53</f>
        <v>#DIV/0!</v>
      </c>
      <c r="L53" s="36" t="e">
        <f t="shared" si="12"/>
        <v>#DIV/0!</v>
      </c>
    </row>
    <row r="54" spans="1:12" ht="15.75" customHeight="1" thickBot="1" x14ac:dyDescent="0.4">
      <c r="A54" s="61"/>
      <c r="B54" s="17"/>
      <c r="C54" s="17"/>
      <c r="D54"/>
      <c r="E54"/>
      <c r="F54"/>
      <c r="G54"/>
      <c r="H54"/>
      <c r="I54"/>
      <c r="J54"/>
      <c r="K54"/>
      <c r="L54"/>
    </row>
    <row r="55" spans="1:12" ht="15" thickBot="1" x14ac:dyDescent="0.4">
      <c r="A55" s="61"/>
      <c r="B55" s="17"/>
      <c r="C55" s="17"/>
      <c r="D55" s="157" t="s">
        <v>144</v>
      </c>
      <c r="E55" s="182">
        <f>G23</f>
        <v>169.26</v>
      </c>
      <c r="F55" s="183">
        <f t="shared" si="13"/>
        <v>65.740000000000009</v>
      </c>
      <c r="G55" s="160">
        <f>F55/$E$76</f>
        <v>7.36432752414765E-2</v>
      </c>
      <c r="H55" s="188">
        <f>G55/H39</f>
        <v>4.3490123174100295E-2</v>
      </c>
      <c r="I55" s="189">
        <f>H55</f>
        <v>4.3490123174100295E-2</v>
      </c>
      <c r="J55" s="161">
        <v>0.8</v>
      </c>
      <c r="K55" s="185">
        <f>I55*H39*J55</f>
        <v>5.8914620193181201E-2</v>
      </c>
      <c r="L55" s="181">
        <f>K55*$E$76</f>
        <v>52.592000000000006</v>
      </c>
    </row>
    <row r="56" spans="1:12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.5" x14ac:dyDescent="0.35">
      <c r="C57" s="63" t="s">
        <v>45</v>
      </c>
      <c r="D57" s="17"/>
      <c r="E57" s="17"/>
      <c r="F57" s="17"/>
      <c r="G57" s="17"/>
      <c r="H57" s="17"/>
      <c r="I57" s="17"/>
      <c r="J57" s="17"/>
      <c r="K57" s="17"/>
    </row>
    <row r="58" spans="1:12" ht="15" customHeight="1" x14ac:dyDescent="0.35">
      <c r="C58" s="17"/>
      <c r="D58" s="17"/>
      <c r="E58" s="17"/>
    </row>
    <row r="59" spans="1:12" ht="15" thickBot="1" x14ac:dyDescent="0.4">
      <c r="C59" s="17"/>
      <c r="D59" s="17"/>
      <c r="E59" s="64"/>
    </row>
    <row r="60" spans="1:12" ht="43.5" x14ac:dyDescent="0.35">
      <c r="C60" s="17"/>
      <c r="D60" s="23" t="s">
        <v>105</v>
      </c>
      <c r="E60" s="26" t="s">
        <v>18</v>
      </c>
      <c r="F60" s="137" t="s">
        <v>27</v>
      </c>
      <c r="G60" s="12" t="s">
        <v>49</v>
      </c>
      <c r="H60" s="13" t="s">
        <v>81</v>
      </c>
      <c r="I60" s="9" t="s">
        <v>17</v>
      </c>
    </row>
    <row r="61" spans="1:12" x14ac:dyDescent="0.35">
      <c r="C61" s="17"/>
      <c r="D61" s="24" t="s">
        <v>133</v>
      </c>
      <c r="E61" s="59"/>
      <c r="F61" s="33">
        <f t="shared" ref="F61:F70" si="18">I12*E61/$E$76</f>
        <v>0</v>
      </c>
      <c r="G61" s="120">
        <f t="shared" ref="G61:G69" si="19">I44</f>
        <v>0</v>
      </c>
      <c r="H61" s="123" t="e">
        <f t="shared" ref="H61:H69" si="20">E61*K44</f>
        <v>#DIV/0!</v>
      </c>
      <c r="I61" s="30" t="e">
        <f>F61+H61</f>
        <v>#DIV/0!</v>
      </c>
    </row>
    <row r="62" spans="1:12" x14ac:dyDescent="0.35">
      <c r="C62" s="17"/>
      <c r="D62" s="24" t="s">
        <v>134</v>
      </c>
      <c r="E62" s="59"/>
      <c r="F62" s="33">
        <f t="shared" si="18"/>
        <v>0</v>
      </c>
      <c r="G62" s="120">
        <f t="shared" si="19"/>
        <v>0</v>
      </c>
      <c r="H62" s="123" t="e">
        <f t="shared" si="20"/>
        <v>#DIV/0!</v>
      </c>
      <c r="I62" s="30" t="e">
        <f t="shared" ref="I62:I72" si="21">F62+H62</f>
        <v>#DIV/0!</v>
      </c>
    </row>
    <row r="63" spans="1:12" x14ac:dyDescent="0.35">
      <c r="C63" s="17"/>
      <c r="D63" s="24" t="s">
        <v>135</v>
      </c>
      <c r="E63" s="59"/>
      <c r="F63" s="33">
        <f t="shared" si="18"/>
        <v>0</v>
      </c>
      <c r="G63" s="120">
        <f t="shared" si="19"/>
        <v>0</v>
      </c>
      <c r="H63" s="123" t="e">
        <f t="shared" si="20"/>
        <v>#DIV/0!</v>
      </c>
      <c r="I63" s="30" t="e">
        <f t="shared" si="21"/>
        <v>#DIV/0!</v>
      </c>
    </row>
    <row r="64" spans="1:12" x14ac:dyDescent="0.35">
      <c r="C64" s="17"/>
      <c r="D64" s="24" t="s">
        <v>136</v>
      </c>
      <c r="E64" s="59"/>
      <c r="F64" s="33">
        <f t="shared" si="18"/>
        <v>0</v>
      </c>
      <c r="G64" s="120">
        <f t="shared" si="19"/>
        <v>0</v>
      </c>
      <c r="H64" s="123" t="e">
        <f t="shared" si="20"/>
        <v>#DIV/0!</v>
      </c>
      <c r="I64" s="30" t="e">
        <f t="shared" si="21"/>
        <v>#DIV/0!</v>
      </c>
    </row>
    <row r="65" spans="3:10" x14ac:dyDescent="0.35">
      <c r="C65" s="17"/>
      <c r="D65" s="24" t="s">
        <v>137</v>
      </c>
      <c r="E65" s="59"/>
      <c r="F65" s="33">
        <f t="shared" si="18"/>
        <v>0</v>
      </c>
      <c r="G65" s="120">
        <f t="shared" si="19"/>
        <v>0</v>
      </c>
      <c r="H65" s="123" t="e">
        <f t="shared" si="20"/>
        <v>#DIV/0!</v>
      </c>
      <c r="I65" s="30" t="e">
        <f t="shared" si="21"/>
        <v>#DIV/0!</v>
      </c>
    </row>
    <row r="66" spans="3:10" x14ac:dyDescent="0.35">
      <c r="C66" s="17"/>
      <c r="D66" s="24" t="s">
        <v>138</v>
      </c>
      <c r="E66" s="59"/>
      <c r="F66" s="33">
        <f t="shared" si="18"/>
        <v>0</v>
      </c>
      <c r="G66" s="120">
        <f t="shared" si="19"/>
        <v>0</v>
      </c>
      <c r="H66" s="123" t="e">
        <f t="shared" si="20"/>
        <v>#DIV/0!</v>
      </c>
      <c r="I66" s="30" t="e">
        <f t="shared" si="21"/>
        <v>#DIV/0!</v>
      </c>
    </row>
    <row r="67" spans="3:10" x14ac:dyDescent="0.35">
      <c r="C67" s="17"/>
      <c r="D67" s="24" t="s">
        <v>139</v>
      </c>
      <c r="E67" s="59"/>
      <c r="F67" s="33">
        <f t="shared" si="18"/>
        <v>0</v>
      </c>
      <c r="G67" s="120">
        <f t="shared" si="19"/>
        <v>0</v>
      </c>
      <c r="H67" s="123" t="e">
        <f t="shared" si="20"/>
        <v>#DIV/0!</v>
      </c>
      <c r="I67" s="30" t="e">
        <f t="shared" si="21"/>
        <v>#DIV/0!</v>
      </c>
    </row>
    <row r="68" spans="3:10" x14ac:dyDescent="0.35">
      <c r="C68" s="17"/>
      <c r="D68" s="24" t="s">
        <v>140</v>
      </c>
      <c r="E68" s="59"/>
      <c r="F68" s="33">
        <f t="shared" si="18"/>
        <v>0</v>
      </c>
      <c r="G68" s="120">
        <f t="shared" si="19"/>
        <v>0</v>
      </c>
      <c r="H68" s="123" t="e">
        <f t="shared" si="20"/>
        <v>#DIV/0!</v>
      </c>
      <c r="I68" s="30" t="e">
        <f t="shared" si="21"/>
        <v>#DIV/0!</v>
      </c>
    </row>
    <row r="69" spans="3:10" x14ac:dyDescent="0.35">
      <c r="C69" s="17"/>
      <c r="D69" s="208" t="s">
        <v>141</v>
      </c>
      <c r="E69" s="209"/>
      <c r="F69" s="33">
        <f t="shared" si="18"/>
        <v>0</v>
      </c>
      <c r="G69" s="120">
        <f t="shared" si="19"/>
        <v>0</v>
      </c>
      <c r="H69" s="123" t="e">
        <f t="shared" si="20"/>
        <v>#DIV/0!</v>
      </c>
      <c r="I69" s="30" t="e">
        <f t="shared" ref="I69" si="22">F69+H69</f>
        <v>#DIV/0!</v>
      </c>
    </row>
    <row r="70" spans="3:10" ht="15" thickBot="1" x14ac:dyDescent="0.4">
      <c r="C70" s="17"/>
      <c r="D70" s="25" t="s">
        <v>142</v>
      </c>
      <c r="E70" s="60"/>
      <c r="F70" s="119">
        <f t="shared" si="18"/>
        <v>0</v>
      </c>
      <c r="G70" s="121">
        <f t="shared" ref="G70" si="23">I53</f>
        <v>0</v>
      </c>
      <c r="H70" s="124" t="e">
        <f t="shared" ref="H70" si="24">E70*K53</f>
        <v>#DIV/0!</v>
      </c>
      <c r="I70" s="32" t="e">
        <f t="shared" si="21"/>
        <v>#DIV/0!</v>
      </c>
    </row>
    <row r="71" spans="3:10" ht="15" thickBot="1" x14ac:dyDescent="0.4">
      <c r="C71" s="17"/>
      <c r="D71"/>
      <c r="E71"/>
      <c r="F71"/>
      <c r="G71"/>
      <c r="H71"/>
      <c r="I71"/>
    </row>
    <row r="72" spans="3:10" ht="15" thickBot="1" x14ac:dyDescent="0.4">
      <c r="C72" s="17"/>
      <c r="D72" s="170" t="s">
        <v>144</v>
      </c>
      <c r="E72" s="178">
        <v>967</v>
      </c>
      <c r="F72" s="179">
        <f>I23*E72/$E$76</f>
        <v>18.335138974823586</v>
      </c>
      <c r="G72" s="186">
        <f>I55</f>
        <v>4.3490123174100295E-2</v>
      </c>
      <c r="H72" s="187">
        <f>E72*K55</f>
        <v>56.970437726806225</v>
      </c>
      <c r="I72" s="163">
        <f t="shared" si="21"/>
        <v>75.305576701629803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95</v>
      </c>
    </row>
    <row r="76" spans="3:10" x14ac:dyDescent="0.35">
      <c r="D76" s="99" t="s">
        <v>70</v>
      </c>
      <c r="E76" s="100">
        <f>(7.48*43560)/365</f>
        <v>892.68164383561657</v>
      </c>
      <c r="F76" s="21" t="s">
        <v>71</v>
      </c>
    </row>
    <row r="77" spans="3:10" x14ac:dyDescent="0.35">
      <c r="D77" s="99" t="s">
        <v>70</v>
      </c>
      <c r="E77" s="100">
        <f>43560/(365*24*3600)</f>
        <v>1.3812785388127853E-3</v>
      </c>
      <c r="F77" s="21" t="s">
        <v>72</v>
      </c>
    </row>
  </sheetData>
  <sheetProtection algorithmName="SHA-512" hashValue="bYJQSsLcYW/aWWJwXVculwmppFb4BPHzfxmWyDBET+rCmK37JEQODAKV4vmDSHtGxW/PZxW9wT621BYQ8mqr6g==" saltValue="lauhTVxehJ0qcyXyesDarA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L60"/>
  <sheetViews>
    <sheetView topLeftCell="A44" zoomScaleNormal="100" zoomScaleSheetLayoutView="100" workbookViewId="0">
      <selection activeCell="C18" sqref="C18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6.7265625" style="21" customWidth="1"/>
    <col min="6" max="12" width="17.7265625" style="21" customWidth="1"/>
    <col min="13" max="13" width="13.7265625" style="21" customWidth="1"/>
    <col min="14" max="16384" width="9.1796875" style="21"/>
  </cols>
  <sheetData>
    <row r="1" spans="1:12" x14ac:dyDescent="0.35">
      <c r="G1" s="134"/>
    </row>
    <row r="2" spans="1:12" x14ac:dyDescent="0.35">
      <c r="A2" s="133" t="s">
        <v>109</v>
      </c>
      <c r="G2" s="134"/>
    </row>
    <row r="3" spans="1:12" x14ac:dyDescent="0.35">
      <c r="A3" s="133" t="s">
        <v>107</v>
      </c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90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4.6588883487279197E-3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2" si="1">E12*F12</f>
        <v>165</v>
      </c>
      <c r="H12" s="57">
        <v>0.1</v>
      </c>
      <c r="I12" s="29">
        <f t="shared" ref="I12:I22" si="2">G12*H12</f>
        <v>16.5</v>
      </c>
      <c r="J12" s="30">
        <f t="shared" si="0"/>
        <v>4.6588883487279197E-3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4.6588883487279197E-3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si="2"/>
        <v>16.380000000000003</v>
      </c>
      <c r="J14" s="30">
        <f t="shared" si="0"/>
        <v>4.6250055243735357E-3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4.6388974823588338E-3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4.6250055243735357E-3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4.6250055243735357E-3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4.6250055243735357E-3</v>
      </c>
      <c r="K18" s="17"/>
      <c r="L18" s="17"/>
    </row>
    <row r="19" spans="1:12" ht="15.75" customHeight="1" x14ac:dyDescent="0.35">
      <c r="A19" s="62"/>
      <c r="B19" s="17"/>
      <c r="C19" s="17"/>
      <c r="D19" s="196" t="s">
        <v>141</v>
      </c>
      <c r="E19" s="205">
        <v>60</v>
      </c>
      <c r="F19" s="227">
        <v>2.73</v>
      </c>
      <c r="G19" s="27">
        <f t="shared" si="1"/>
        <v>163.80000000000001</v>
      </c>
      <c r="H19" s="57">
        <v>0.1</v>
      </c>
      <c r="I19" s="29">
        <f t="shared" si="2"/>
        <v>16.380000000000003</v>
      </c>
      <c r="J19" s="30">
        <f t="shared" si="0"/>
        <v>4.6250055243735357E-3</v>
      </c>
      <c r="K19" s="17"/>
      <c r="L19" s="17"/>
    </row>
    <row r="20" spans="1:12" ht="1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7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4.6250055243735357E-3</v>
      </c>
      <c r="K20" s="17"/>
      <c r="L20" s="17"/>
    </row>
    <row r="21" spans="1:12" ht="15" customHeight="1" thickBot="1" x14ac:dyDescent="0.4">
      <c r="A21" s="62"/>
      <c r="B21" s="17"/>
      <c r="C21" s="17"/>
      <c r="K21" s="17"/>
      <c r="L21" s="17"/>
    </row>
    <row r="22" spans="1:12" ht="15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si="1"/>
        <v>0</v>
      </c>
      <c r="H22" s="161"/>
      <c r="I22" s="162">
        <f t="shared" si="2"/>
        <v>0</v>
      </c>
      <c r="J22" s="163">
        <f>I22/$E$59</f>
        <v>0</v>
      </c>
      <c r="K22" s="17"/>
      <c r="L22" s="17"/>
    </row>
    <row r="23" spans="1:12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97</v>
      </c>
      <c r="F26" s="13" t="s">
        <v>16</v>
      </c>
      <c r="G26" s="13" t="s">
        <v>98</v>
      </c>
      <c r="H26" s="13" t="s">
        <v>59</v>
      </c>
      <c r="I26" s="13" t="s">
        <v>86</v>
      </c>
      <c r="J26" s="9" t="s">
        <v>87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53">
        <v>11.99</v>
      </c>
      <c r="F27" s="57">
        <v>0.75</v>
      </c>
      <c r="G27" s="27">
        <f>E27/F27</f>
        <v>15.986666666666666</v>
      </c>
      <c r="H27" s="57">
        <v>0.8</v>
      </c>
      <c r="I27" s="27">
        <f>H27*G27</f>
        <v>12.789333333333333</v>
      </c>
      <c r="J27" s="30">
        <f>I27/12</f>
        <v>1.0657777777777777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53">
        <v>11.44</v>
      </c>
      <c r="F28" s="57">
        <v>0.75</v>
      </c>
      <c r="G28" s="27">
        <f t="shared" ref="G28:G38" si="3">E28/F28</f>
        <v>15.253333333333332</v>
      </c>
      <c r="H28" s="57">
        <v>0.8</v>
      </c>
      <c r="I28" s="27">
        <f t="shared" ref="I28:I38" si="4">H28*G28</f>
        <v>12.202666666666666</v>
      </c>
      <c r="J28" s="30">
        <f t="shared" ref="J28:J38" si="5">I28/12</f>
        <v>1.0168888888888887</v>
      </c>
      <c r="K28" s="17"/>
      <c r="L28" s="17"/>
    </row>
    <row r="29" spans="1:12" x14ac:dyDescent="0.35">
      <c r="A29" s="17"/>
      <c r="B29" s="17"/>
      <c r="C29" s="17"/>
      <c r="D29" s="10" t="s">
        <v>135</v>
      </c>
      <c r="E29" s="53">
        <v>11.22</v>
      </c>
      <c r="F29" s="57">
        <v>0.75</v>
      </c>
      <c r="G29" s="27">
        <f t="shared" si="3"/>
        <v>14.96</v>
      </c>
      <c r="H29" s="57">
        <v>0.8</v>
      </c>
      <c r="I29" s="27">
        <f t="shared" si="4"/>
        <v>11.968000000000002</v>
      </c>
      <c r="J29" s="30">
        <f t="shared" si="5"/>
        <v>0.99733333333333352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53">
        <v>12.45</v>
      </c>
      <c r="F30" s="57">
        <v>0.75</v>
      </c>
      <c r="G30" s="27">
        <f t="shared" si="3"/>
        <v>16.599999999999998</v>
      </c>
      <c r="H30" s="57">
        <v>0.8</v>
      </c>
      <c r="I30" s="27">
        <f t="shared" si="4"/>
        <v>13.28</v>
      </c>
      <c r="J30" s="30">
        <f t="shared" si="5"/>
        <v>1.1066666666666667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53">
        <v>11.7</v>
      </c>
      <c r="F31" s="57">
        <v>0.75</v>
      </c>
      <c r="G31" s="27">
        <f t="shared" si="3"/>
        <v>15.6</v>
      </c>
      <c r="H31" s="57">
        <v>0.8</v>
      </c>
      <c r="I31" s="27">
        <f t="shared" si="4"/>
        <v>12.48</v>
      </c>
      <c r="J31" s="30">
        <f t="shared" si="5"/>
        <v>1.04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53">
        <v>13.22</v>
      </c>
      <c r="F32" s="57">
        <v>0.75</v>
      </c>
      <c r="G32" s="27">
        <f t="shared" si="3"/>
        <v>17.626666666666669</v>
      </c>
      <c r="H32" s="57">
        <v>0.8</v>
      </c>
      <c r="I32" s="27">
        <f t="shared" si="4"/>
        <v>14.101333333333336</v>
      </c>
      <c r="J32" s="30">
        <f t="shared" si="5"/>
        <v>1.1751111111111114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53">
        <v>12.88</v>
      </c>
      <c r="F33" s="57">
        <v>0.75</v>
      </c>
      <c r="G33" s="27">
        <f t="shared" si="3"/>
        <v>17.173333333333336</v>
      </c>
      <c r="H33" s="57">
        <v>0.8</v>
      </c>
      <c r="I33" s="27">
        <f t="shared" si="4"/>
        <v>13.738666666666669</v>
      </c>
      <c r="J33" s="30">
        <f t="shared" si="5"/>
        <v>1.1448888888888891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53">
        <v>12.43</v>
      </c>
      <c r="F34" s="57">
        <v>0.75</v>
      </c>
      <c r="G34" s="27">
        <f t="shared" si="3"/>
        <v>16.573333333333334</v>
      </c>
      <c r="H34" s="57">
        <v>0.8</v>
      </c>
      <c r="I34" s="27">
        <f t="shared" si="4"/>
        <v>13.258666666666668</v>
      </c>
      <c r="J34" s="30">
        <f t="shared" si="5"/>
        <v>1.104888888888889</v>
      </c>
      <c r="K34" s="17"/>
      <c r="L34" s="17"/>
    </row>
    <row r="35" spans="1:12" x14ac:dyDescent="0.35">
      <c r="A35" s="17"/>
      <c r="B35" s="17"/>
      <c r="C35" s="17"/>
      <c r="D35" s="196" t="s">
        <v>141</v>
      </c>
      <c r="E35" s="205">
        <v>12.05</v>
      </c>
      <c r="F35" s="207">
        <v>0.75</v>
      </c>
      <c r="G35" s="27">
        <f t="shared" si="3"/>
        <v>16.066666666666666</v>
      </c>
      <c r="H35" s="57">
        <v>0.8</v>
      </c>
      <c r="I35" s="27">
        <f t="shared" si="4"/>
        <v>12.853333333333333</v>
      </c>
      <c r="J35" s="30">
        <f t="shared" si="5"/>
        <v>1.0711111111111111</v>
      </c>
      <c r="K35" s="17"/>
    </row>
    <row r="36" spans="1:12" ht="15" thickBot="1" x14ac:dyDescent="0.4">
      <c r="A36" s="17"/>
      <c r="B36" s="17"/>
      <c r="C36" s="17"/>
      <c r="D36" s="11" t="s">
        <v>142</v>
      </c>
      <c r="E36" s="55">
        <v>12.51</v>
      </c>
      <c r="F36" s="58">
        <v>0.75</v>
      </c>
      <c r="G36" s="28">
        <f t="shared" si="3"/>
        <v>16.68</v>
      </c>
      <c r="H36" s="58">
        <v>0.8</v>
      </c>
      <c r="I36" s="28">
        <f t="shared" si="4"/>
        <v>13.344000000000001</v>
      </c>
      <c r="J36" s="32">
        <f t="shared" si="5"/>
        <v>1.1120000000000001</v>
      </c>
      <c r="K36" s="17"/>
      <c r="L36" s="38"/>
    </row>
    <row r="37" spans="1:12" ht="15" thickBot="1" x14ac:dyDescent="0.4">
      <c r="A37" s="17"/>
      <c r="B37" s="17"/>
      <c r="C37" s="17"/>
      <c r="K37" s="17"/>
    </row>
    <row r="38" spans="1:12" ht="15" thickBot="1" x14ac:dyDescent="0.4">
      <c r="A38" s="17"/>
      <c r="B38" s="17"/>
      <c r="C38" s="17"/>
      <c r="D38" s="157" t="s">
        <v>144</v>
      </c>
      <c r="E38" s="177"/>
      <c r="F38" s="161"/>
      <c r="G38" s="160" t="e">
        <f t="shared" si="3"/>
        <v>#DIV/0!</v>
      </c>
      <c r="H38" s="161"/>
      <c r="I38" s="160" t="e">
        <f t="shared" si="4"/>
        <v>#DIV/0!</v>
      </c>
      <c r="J38" s="163" t="e">
        <f t="shared" si="5"/>
        <v>#DIV/0!</v>
      </c>
      <c r="K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100</v>
      </c>
      <c r="D40" s="17"/>
      <c r="E40" s="17"/>
      <c r="F40" s="17"/>
      <c r="G40" s="17"/>
      <c r="H40" s="17"/>
      <c r="I40" s="17"/>
      <c r="J40" s="17"/>
      <c r="K40" s="17"/>
    </row>
    <row r="41" spans="1:12" x14ac:dyDescent="0.35">
      <c r="A41" s="17"/>
      <c r="B41" s="17"/>
      <c r="C41" s="17"/>
      <c r="D41" s="17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15" customHeight="1" x14ac:dyDescent="0.35">
      <c r="A43" s="19"/>
      <c r="B43" s="17"/>
      <c r="C43" s="17"/>
      <c r="D43" s="23" t="s">
        <v>105</v>
      </c>
      <c r="E43" s="26" t="s">
        <v>18</v>
      </c>
      <c r="F43" s="137" t="s">
        <v>91</v>
      </c>
      <c r="G43" s="13" t="s">
        <v>49</v>
      </c>
      <c r="H43" s="13" t="s">
        <v>106</v>
      </c>
      <c r="I43" s="9" t="s">
        <v>92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2" si="6">E44*J11</f>
        <v>9.3177766974558394E-3</v>
      </c>
      <c r="G44" s="109">
        <v>0.28000000000000003</v>
      </c>
      <c r="H44" s="27">
        <f t="shared" ref="H44:H52" si="7">G44*E44*J27</f>
        <v>0.59683555555555556</v>
      </c>
      <c r="I44" s="30">
        <f>F44+H44</f>
        <v>0.60615333225301138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6"/>
        <v>2.32944417436396E-2</v>
      </c>
      <c r="G45" s="109">
        <v>0.28000000000000003</v>
      </c>
      <c r="H45" s="27">
        <f t="shared" si="7"/>
        <v>1.4236444444444443</v>
      </c>
      <c r="I45" s="30">
        <f t="shared" ref="I45:I55" si="8">F45+H45</f>
        <v>1.4469388861880839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6"/>
        <v>0.54974882514989454</v>
      </c>
      <c r="G46" s="109">
        <v>0.28000000000000003</v>
      </c>
      <c r="H46" s="27">
        <f t="shared" si="7"/>
        <v>32.951893333333345</v>
      </c>
      <c r="I46" s="30">
        <f t="shared" si="8"/>
        <v>33.501642158483243</v>
      </c>
      <c r="J46" s="17"/>
      <c r="K46" s="17"/>
    </row>
    <row r="47" spans="1:12" ht="15.7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6"/>
        <v>3.7000044194988285E-2</v>
      </c>
      <c r="G47" s="109">
        <v>0.28000000000000003</v>
      </c>
      <c r="H47" s="27">
        <f t="shared" si="7"/>
        <v>2.4789333333333334</v>
      </c>
      <c r="I47" s="30">
        <f t="shared" si="8"/>
        <v>2.5159333775283219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6"/>
        <v>1.0855020108719671</v>
      </c>
      <c r="G48" s="109">
        <v>0.31</v>
      </c>
      <c r="H48" s="27">
        <f t="shared" si="7"/>
        <v>75.441600000000008</v>
      </c>
      <c r="I48" s="30">
        <f t="shared" si="8"/>
        <v>76.527102010871971</v>
      </c>
      <c r="J48" s="17"/>
      <c r="K48" s="17"/>
    </row>
    <row r="49" spans="1:11" x14ac:dyDescent="0.35">
      <c r="A49" s="61"/>
      <c r="B49" s="17"/>
      <c r="C49" s="17"/>
      <c r="D49" s="24" t="s">
        <v>138</v>
      </c>
      <c r="E49" s="229">
        <v>4</v>
      </c>
      <c r="F49" s="33">
        <f t="shared" si="6"/>
        <v>1.8500022097494143E-2</v>
      </c>
      <c r="G49" s="109">
        <v>0.28000000000000003</v>
      </c>
      <c r="H49" s="27">
        <f t="shared" si="7"/>
        <v>1.3161244444444449</v>
      </c>
      <c r="I49" s="30">
        <f t="shared" si="8"/>
        <v>1.3346244665419391</v>
      </c>
      <c r="J49" s="17"/>
      <c r="K49" s="17"/>
    </row>
    <row r="50" spans="1:11" x14ac:dyDescent="0.35">
      <c r="A50" s="61"/>
      <c r="B50" s="17"/>
      <c r="C50" s="17"/>
      <c r="D50" s="24" t="s">
        <v>139</v>
      </c>
      <c r="E50" s="229">
        <v>15</v>
      </c>
      <c r="F50" s="33">
        <f t="shared" si="6"/>
        <v>6.9375082865603038E-2</v>
      </c>
      <c r="G50" s="109">
        <v>0.33</v>
      </c>
      <c r="H50" s="27">
        <f t="shared" si="7"/>
        <v>5.6672000000000011</v>
      </c>
      <c r="I50" s="30">
        <f t="shared" si="8"/>
        <v>5.7365750828656044</v>
      </c>
      <c r="J50" s="17"/>
      <c r="K50" s="17"/>
    </row>
    <row r="51" spans="1:11" ht="1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6"/>
        <v>2.7750033146241214E-2</v>
      </c>
      <c r="G51" s="109">
        <v>0.31</v>
      </c>
      <c r="H51" s="27">
        <f t="shared" si="7"/>
        <v>2.0550933333333337</v>
      </c>
      <c r="I51" s="30">
        <f t="shared" si="8"/>
        <v>2.0828433664795747</v>
      </c>
      <c r="J51" s="17"/>
      <c r="K51" s="17"/>
    </row>
    <row r="52" spans="1:11" x14ac:dyDescent="0.35">
      <c r="A52" s="61"/>
      <c r="B52" s="17"/>
      <c r="C52" s="17"/>
      <c r="D52" s="208" t="s">
        <v>141</v>
      </c>
      <c r="E52" s="229">
        <v>235</v>
      </c>
      <c r="F52" s="33">
        <f t="shared" si="6"/>
        <v>1.0868762982277809</v>
      </c>
      <c r="G52" s="109">
        <v>0.37</v>
      </c>
      <c r="H52" s="27">
        <f t="shared" si="7"/>
        <v>93.13311111111112</v>
      </c>
      <c r="I52" s="30">
        <f t="shared" si="8"/>
        <v>94.219987409338898</v>
      </c>
      <c r="J52" s="17"/>
      <c r="K52" s="17"/>
    </row>
    <row r="53" spans="1:1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ref="F53" si="9">E53*J20</f>
        <v>1.5725018782870022</v>
      </c>
      <c r="G53" s="122">
        <v>0.33</v>
      </c>
      <c r="H53" s="28">
        <f t="shared" ref="H53" si="10">G53*E53*J36</f>
        <v>124.76640000000002</v>
      </c>
      <c r="I53" s="32">
        <f t="shared" si="8"/>
        <v>126.33890187828702</v>
      </c>
      <c r="J53" s="17"/>
      <c r="K53" s="17"/>
    </row>
    <row r="54" spans="1:11" ht="15" thickBot="1" x14ac:dyDescent="0.4">
      <c r="A54" s="61"/>
      <c r="B54" s="17"/>
      <c r="C54" s="17"/>
      <c r="D54" s="237"/>
      <c r="E54" s="17"/>
      <c r="F54" s="17"/>
      <c r="G54" s="17"/>
      <c r="H54" s="17"/>
      <c r="I54" s="238"/>
      <c r="J54" s="17"/>
      <c r="K54" s="17"/>
    </row>
    <row r="55" spans="1:11" ht="15" thickBot="1" x14ac:dyDescent="0.4">
      <c r="B55" s="17"/>
      <c r="C55" s="17"/>
      <c r="D55" s="157" t="s">
        <v>144</v>
      </c>
      <c r="E55" s="178"/>
      <c r="F55" s="179">
        <f t="shared" ref="F55" si="11">E55*J22</f>
        <v>0</v>
      </c>
      <c r="G55" s="180"/>
      <c r="H55" s="160" t="e">
        <f t="shared" ref="H55" si="12">G55*E55*J38</f>
        <v>#DIV/0!</v>
      </c>
      <c r="I55" s="163" t="e">
        <f t="shared" si="8"/>
        <v>#DIV/0!</v>
      </c>
      <c r="J55" s="17"/>
      <c r="K55" s="17"/>
    </row>
    <row r="56" spans="1:11" x14ac:dyDescent="0.35">
      <c r="C56" s="17"/>
      <c r="D56" s="17"/>
      <c r="E56" s="17"/>
      <c r="F56" s="17"/>
      <c r="G56" s="17"/>
      <c r="H56" s="17"/>
      <c r="I56" s="17"/>
      <c r="J56" s="17"/>
    </row>
    <row r="58" spans="1:11" ht="15.5" x14ac:dyDescent="0.35">
      <c r="C58" s="63" t="s">
        <v>102</v>
      </c>
    </row>
    <row r="59" spans="1:11" x14ac:dyDescent="0.35">
      <c r="D59" s="99" t="s">
        <v>94</v>
      </c>
      <c r="E59" s="100">
        <f>(7.48*43560)/92</f>
        <v>3541.6173913043485</v>
      </c>
      <c r="F59" s="21" t="s">
        <v>71</v>
      </c>
    </row>
    <row r="60" spans="1:11" x14ac:dyDescent="0.35">
      <c r="D60" s="99" t="s">
        <v>94</v>
      </c>
      <c r="E60" s="100">
        <f>43560/(92*24*3600)</f>
        <v>5.4800724637681158E-3</v>
      </c>
      <c r="F60" s="21" t="s">
        <v>72</v>
      </c>
    </row>
  </sheetData>
  <sheetProtection algorithmName="SHA-512" hashValue="asJ5v/Qk6KEAE8KKQNbJGvH/Yw4APwYvhDWK+H/7rr89nZH6jvMStZpGRd07tQyotMbDX2FRvppvMu0kqG0gyQ==" saltValue="VBksssZTDYpTcWVHMLxOXQ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030A0"/>
  </sheetPr>
  <dimension ref="A1:L60"/>
  <sheetViews>
    <sheetView topLeftCell="A47" zoomScaleNormal="100" zoomScaleSheetLayoutView="100" workbookViewId="0">
      <selection activeCell="A15" sqref="A15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6.7265625" style="21" customWidth="1"/>
    <col min="6" max="12" width="17.7265625" style="21" customWidth="1"/>
    <col min="13" max="13" width="13.7265625" style="21" customWidth="1"/>
    <col min="14" max="16384" width="9.1796875" style="21"/>
  </cols>
  <sheetData>
    <row r="1" spans="1:12" x14ac:dyDescent="0.35">
      <c r="G1" s="134"/>
    </row>
    <row r="2" spans="1:12" x14ac:dyDescent="0.35">
      <c r="A2" s="133" t="s">
        <v>110</v>
      </c>
      <c r="G2" s="134"/>
    </row>
    <row r="3" spans="1:12" x14ac:dyDescent="0.35">
      <c r="A3" s="133" t="s">
        <v>107</v>
      </c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90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4.6588883487279197E-3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2" si="1">E12*F12</f>
        <v>165</v>
      </c>
      <c r="H12" s="57">
        <v>0.1</v>
      </c>
      <c r="I12" s="29">
        <f t="shared" ref="I12:I22" si="2">G12*H12</f>
        <v>16.5</v>
      </c>
      <c r="J12" s="30">
        <f t="shared" si="0"/>
        <v>4.6588883487279197E-3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4.6588883487279197E-3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si="2"/>
        <v>16.380000000000003</v>
      </c>
      <c r="J14" s="30">
        <f t="shared" si="0"/>
        <v>4.6250055243735357E-3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4.6388974823588338E-3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4.6250055243735357E-3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4.6250055243735357E-3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4.6250055243735357E-3</v>
      </c>
      <c r="K18" s="17"/>
      <c r="L18" s="17"/>
    </row>
    <row r="19" spans="1:12" ht="15.75" customHeight="1" x14ac:dyDescent="0.35">
      <c r="A19" s="62"/>
      <c r="B19" s="17"/>
      <c r="C19" s="17"/>
      <c r="D19" s="196" t="s">
        <v>141</v>
      </c>
      <c r="E19" s="205">
        <v>60</v>
      </c>
      <c r="F19" s="227">
        <v>2.73</v>
      </c>
      <c r="G19" s="27">
        <f t="shared" si="1"/>
        <v>163.80000000000001</v>
      </c>
      <c r="H19" s="57">
        <v>0.1</v>
      </c>
      <c r="I19" s="29">
        <f t="shared" si="2"/>
        <v>16.380000000000003</v>
      </c>
      <c r="J19" s="30">
        <f t="shared" si="0"/>
        <v>4.6250055243735357E-3</v>
      </c>
      <c r="K19" s="17"/>
      <c r="L19" s="17"/>
    </row>
    <row r="20" spans="1:12" ht="1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7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4.6250055243735357E-3</v>
      </c>
      <c r="K20" s="17"/>
      <c r="L20" s="17"/>
    </row>
    <row r="21" spans="1:12" ht="15" customHeight="1" thickBot="1" x14ac:dyDescent="0.4">
      <c r="A21" s="62"/>
      <c r="B21" s="17"/>
      <c r="C21" s="17"/>
      <c r="K21" s="17"/>
      <c r="L21" s="17"/>
    </row>
    <row r="22" spans="1:12" ht="15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si="1"/>
        <v>0</v>
      </c>
      <c r="H22" s="161"/>
      <c r="I22" s="162">
        <f t="shared" si="2"/>
        <v>0</v>
      </c>
      <c r="J22" s="163">
        <f>I22/$E$59</f>
        <v>0</v>
      </c>
      <c r="K22" s="17"/>
      <c r="L22" s="17"/>
    </row>
    <row r="23" spans="1:12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97</v>
      </c>
      <c r="F26" s="13" t="s">
        <v>16</v>
      </c>
      <c r="G26" s="13" t="s">
        <v>98</v>
      </c>
      <c r="H26" s="13" t="s">
        <v>59</v>
      </c>
      <c r="I26" s="13" t="s">
        <v>86</v>
      </c>
      <c r="J26" s="9" t="s">
        <v>87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53">
        <v>11.99</v>
      </c>
      <c r="F27" s="57">
        <v>0.75</v>
      </c>
      <c r="G27" s="27">
        <f>E27/F27</f>
        <v>15.986666666666666</v>
      </c>
      <c r="H27" s="57">
        <v>0.8</v>
      </c>
      <c r="I27" s="27">
        <f>H27*G27</f>
        <v>12.789333333333333</v>
      </c>
      <c r="J27" s="30">
        <f>I27/12</f>
        <v>1.0657777777777777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53">
        <v>11.44</v>
      </c>
      <c r="F28" s="57">
        <v>0.75</v>
      </c>
      <c r="G28" s="27">
        <f t="shared" ref="G28:G38" si="3">E28/F28</f>
        <v>15.253333333333332</v>
      </c>
      <c r="H28" s="57">
        <v>0.8</v>
      </c>
      <c r="I28" s="27">
        <f t="shared" ref="I28:I38" si="4">H28*G28</f>
        <v>12.202666666666666</v>
      </c>
      <c r="J28" s="30">
        <f t="shared" ref="J28:J38" si="5">I28/12</f>
        <v>1.0168888888888887</v>
      </c>
      <c r="K28" s="17"/>
      <c r="L28" s="17"/>
    </row>
    <row r="29" spans="1:12" x14ac:dyDescent="0.35">
      <c r="A29" s="17"/>
      <c r="B29" s="17"/>
      <c r="C29" s="17"/>
      <c r="D29" s="10" t="s">
        <v>135</v>
      </c>
      <c r="E29" s="53">
        <v>11.22</v>
      </c>
      <c r="F29" s="57">
        <v>0.75</v>
      </c>
      <c r="G29" s="27">
        <f t="shared" si="3"/>
        <v>14.96</v>
      </c>
      <c r="H29" s="57">
        <v>0.8</v>
      </c>
      <c r="I29" s="27">
        <f t="shared" si="4"/>
        <v>11.968000000000002</v>
      </c>
      <c r="J29" s="30">
        <f t="shared" si="5"/>
        <v>0.99733333333333352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53">
        <v>12.45</v>
      </c>
      <c r="F30" s="57">
        <v>0.75</v>
      </c>
      <c r="G30" s="27">
        <f t="shared" si="3"/>
        <v>16.599999999999998</v>
      </c>
      <c r="H30" s="57">
        <v>0.8</v>
      </c>
      <c r="I30" s="27">
        <f t="shared" si="4"/>
        <v>13.28</v>
      </c>
      <c r="J30" s="30">
        <f t="shared" si="5"/>
        <v>1.1066666666666667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53">
        <v>11.7</v>
      </c>
      <c r="F31" s="57">
        <v>0.75</v>
      </c>
      <c r="G31" s="27">
        <f t="shared" si="3"/>
        <v>15.6</v>
      </c>
      <c r="H31" s="57">
        <v>0.8</v>
      </c>
      <c r="I31" s="27">
        <f t="shared" si="4"/>
        <v>12.48</v>
      </c>
      <c r="J31" s="30">
        <f t="shared" si="5"/>
        <v>1.04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53">
        <v>13.22</v>
      </c>
      <c r="F32" s="57">
        <v>0.75</v>
      </c>
      <c r="G32" s="27">
        <f t="shared" si="3"/>
        <v>17.626666666666669</v>
      </c>
      <c r="H32" s="57">
        <v>0.8</v>
      </c>
      <c r="I32" s="27">
        <f t="shared" si="4"/>
        <v>14.101333333333336</v>
      </c>
      <c r="J32" s="30">
        <f t="shared" si="5"/>
        <v>1.1751111111111114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53">
        <v>12.88</v>
      </c>
      <c r="F33" s="57">
        <v>0.75</v>
      </c>
      <c r="G33" s="27">
        <f t="shared" si="3"/>
        <v>17.173333333333336</v>
      </c>
      <c r="H33" s="57">
        <v>0.8</v>
      </c>
      <c r="I33" s="27">
        <f t="shared" si="4"/>
        <v>13.738666666666669</v>
      </c>
      <c r="J33" s="30">
        <f t="shared" si="5"/>
        <v>1.1448888888888891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53">
        <v>12.43</v>
      </c>
      <c r="F34" s="57">
        <v>0.75</v>
      </c>
      <c r="G34" s="27">
        <f t="shared" si="3"/>
        <v>16.573333333333334</v>
      </c>
      <c r="H34" s="57">
        <v>0.8</v>
      </c>
      <c r="I34" s="27">
        <f t="shared" si="4"/>
        <v>13.258666666666668</v>
      </c>
      <c r="J34" s="30">
        <f t="shared" si="5"/>
        <v>1.104888888888889</v>
      </c>
      <c r="K34" s="17"/>
      <c r="L34" s="17"/>
    </row>
    <row r="35" spans="1:12" x14ac:dyDescent="0.35">
      <c r="A35" s="17"/>
      <c r="B35" s="17"/>
      <c r="C35" s="17"/>
      <c r="D35" s="196" t="s">
        <v>141</v>
      </c>
      <c r="E35" s="205">
        <v>12.05</v>
      </c>
      <c r="F35" s="207">
        <v>0.75</v>
      </c>
      <c r="G35" s="27">
        <f t="shared" si="3"/>
        <v>16.066666666666666</v>
      </c>
      <c r="H35" s="57">
        <v>0.8</v>
      </c>
      <c r="I35" s="27">
        <f t="shared" si="4"/>
        <v>12.853333333333333</v>
      </c>
      <c r="J35" s="30">
        <f t="shared" si="5"/>
        <v>1.0711111111111111</v>
      </c>
      <c r="K35" s="17"/>
    </row>
    <row r="36" spans="1:12" ht="15" thickBot="1" x14ac:dyDescent="0.4">
      <c r="A36" s="17"/>
      <c r="B36" s="17"/>
      <c r="C36" s="17"/>
      <c r="D36" s="11" t="s">
        <v>142</v>
      </c>
      <c r="E36" s="55">
        <v>12.51</v>
      </c>
      <c r="F36" s="58">
        <v>0.75</v>
      </c>
      <c r="G36" s="28">
        <f t="shared" si="3"/>
        <v>16.68</v>
      </c>
      <c r="H36" s="58">
        <v>0.8</v>
      </c>
      <c r="I36" s="28">
        <f t="shared" si="4"/>
        <v>13.344000000000001</v>
      </c>
      <c r="J36" s="32">
        <f t="shared" si="5"/>
        <v>1.1120000000000001</v>
      </c>
      <c r="K36" s="17"/>
      <c r="L36" s="38"/>
    </row>
    <row r="37" spans="1:12" ht="15" thickBot="1" x14ac:dyDescent="0.4">
      <c r="A37" s="17"/>
      <c r="B37" s="17"/>
      <c r="C37" s="17"/>
      <c r="K37" s="17"/>
    </row>
    <row r="38" spans="1:12" ht="15" thickBot="1" x14ac:dyDescent="0.4">
      <c r="A38" s="17"/>
      <c r="B38" s="17"/>
      <c r="C38" s="17"/>
      <c r="D38" s="157" t="s">
        <v>144</v>
      </c>
      <c r="E38" s="177"/>
      <c r="F38" s="161"/>
      <c r="G38" s="160" t="e">
        <f t="shared" si="3"/>
        <v>#DIV/0!</v>
      </c>
      <c r="H38" s="161"/>
      <c r="I38" s="160" t="e">
        <f t="shared" si="4"/>
        <v>#DIV/0!</v>
      </c>
      <c r="J38" s="163" t="e">
        <f t="shared" si="5"/>
        <v>#DIV/0!</v>
      </c>
      <c r="K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100</v>
      </c>
      <c r="D40" s="17"/>
      <c r="E40" s="17"/>
      <c r="F40" s="17"/>
      <c r="G40" s="17"/>
      <c r="H40" s="17"/>
      <c r="I40" s="17"/>
      <c r="J40" s="17"/>
      <c r="K40" s="17"/>
    </row>
    <row r="41" spans="1:12" x14ac:dyDescent="0.35">
      <c r="A41" s="17"/>
      <c r="B41" s="17"/>
      <c r="C41" s="17"/>
      <c r="D41" s="17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15" customHeight="1" x14ac:dyDescent="0.35">
      <c r="A43" s="19"/>
      <c r="B43" s="17"/>
      <c r="C43" s="17"/>
      <c r="D43" s="23" t="s">
        <v>105</v>
      </c>
      <c r="E43" s="26" t="s">
        <v>18</v>
      </c>
      <c r="F43" s="137" t="s">
        <v>91</v>
      </c>
      <c r="G43" s="13" t="s">
        <v>49</v>
      </c>
      <c r="H43" s="13" t="s">
        <v>106</v>
      </c>
      <c r="I43" s="9" t="s">
        <v>92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2" si="6">E44*J11</f>
        <v>9.3177766974558394E-3</v>
      </c>
      <c r="G44" s="109">
        <v>0.5</v>
      </c>
      <c r="H44" s="27">
        <f t="shared" ref="H44:H52" si="7">G44*E44*J27</f>
        <v>1.0657777777777777</v>
      </c>
      <c r="I44" s="30">
        <f>F44+H44</f>
        <v>1.0750955544752336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6"/>
        <v>2.32944417436396E-2</v>
      </c>
      <c r="G45" s="109">
        <v>0.5</v>
      </c>
      <c r="H45" s="27">
        <f t="shared" si="7"/>
        <v>2.5422222222222217</v>
      </c>
      <c r="I45" s="30">
        <f t="shared" ref="I45:I55" si="8">F45+H45</f>
        <v>2.5655166639658615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6"/>
        <v>0.54974882514989454</v>
      </c>
      <c r="G46" s="109">
        <v>0.5</v>
      </c>
      <c r="H46" s="27">
        <f t="shared" si="7"/>
        <v>58.84266666666668</v>
      </c>
      <c r="I46" s="30">
        <f t="shared" si="8"/>
        <v>59.392415491816578</v>
      </c>
      <c r="J46" s="17"/>
      <c r="K46" s="17"/>
    </row>
    <row r="47" spans="1:12" ht="15.7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6"/>
        <v>3.7000044194988285E-2</v>
      </c>
      <c r="G47" s="109">
        <v>0.5</v>
      </c>
      <c r="H47" s="27">
        <f t="shared" si="7"/>
        <v>4.4266666666666667</v>
      </c>
      <c r="I47" s="30">
        <f t="shared" si="8"/>
        <v>4.4636667108616548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6"/>
        <v>1.0855020108719671</v>
      </c>
      <c r="G48" s="109">
        <v>0.5</v>
      </c>
      <c r="H48" s="27">
        <f t="shared" si="7"/>
        <v>121.68</v>
      </c>
      <c r="I48" s="30">
        <f t="shared" si="8"/>
        <v>122.76550201087197</v>
      </c>
      <c r="J48" s="17"/>
      <c r="K48" s="17"/>
    </row>
    <row r="49" spans="1:11" x14ac:dyDescent="0.35">
      <c r="A49" s="61"/>
      <c r="B49" s="17"/>
      <c r="C49" s="17"/>
      <c r="D49" s="24" t="s">
        <v>138</v>
      </c>
      <c r="E49" s="229">
        <v>4</v>
      </c>
      <c r="F49" s="33">
        <f t="shared" si="6"/>
        <v>1.8500022097494143E-2</v>
      </c>
      <c r="G49" s="109">
        <v>0.5</v>
      </c>
      <c r="H49" s="27">
        <f t="shared" si="7"/>
        <v>2.3502222222222229</v>
      </c>
      <c r="I49" s="30">
        <f t="shared" si="8"/>
        <v>2.3687222443197169</v>
      </c>
      <c r="J49" s="17"/>
      <c r="K49" s="17"/>
    </row>
    <row r="50" spans="1:11" x14ac:dyDescent="0.35">
      <c r="A50" s="61"/>
      <c r="B50" s="17"/>
      <c r="C50" s="17"/>
      <c r="D50" s="24" t="s">
        <v>139</v>
      </c>
      <c r="E50" s="229">
        <v>15</v>
      </c>
      <c r="F50" s="33">
        <f t="shared" si="6"/>
        <v>6.9375082865603038E-2</v>
      </c>
      <c r="G50" s="109">
        <v>0.5</v>
      </c>
      <c r="H50" s="27">
        <f t="shared" si="7"/>
        <v>8.5866666666666678</v>
      </c>
      <c r="I50" s="30">
        <f t="shared" si="8"/>
        <v>8.656041749532271</v>
      </c>
      <c r="J50" s="17"/>
      <c r="K50" s="17"/>
    </row>
    <row r="51" spans="1:11" ht="1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6"/>
        <v>2.7750033146241214E-2</v>
      </c>
      <c r="G51" s="109">
        <v>0.5</v>
      </c>
      <c r="H51" s="27">
        <f t="shared" si="7"/>
        <v>3.3146666666666671</v>
      </c>
      <c r="I51" s="30">
        <f t="shared" si="8"/>
        <v>3.3424166998129081</v>
      </c>
      <c r="J51" s="17"/>
      <c r="K51" s="17"/>
    </row>
    <row r="52" spans="1:11" x14ac:dyDescent="0.35">
      <c r="A52" s="61"/>
      <c r="B52" s="17"/>
      <c r="C52" s="17"/>
      <c r="D52" s="208" t="s">
        <v>141</v>
      </c>
      <c r="E52" s="229">
        <v>235</v>
      </c>
      <c r="F52" s="33">
        <f t="shared" si="6"/>
        <v>1.0868762982277809</v>
      </c>
      <c r="G52" s="109">
        <v>0.5</v>
      </c>
      <c r="H52" s="27">
        <f t="shared" si="7"/>
        <v>125.85555555555555</v>
      </c>
      <c r="I52" s="30">
        <f t="shared" si="8"/>
        <v>126.94243185378333</v>
      </c>
      <c r="J52" s="17"/>
      <c r="K52" s="17"/>
    </row>
    <row r="53" spans="1:1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ref="F53" si="9">E53*J20</f>
        <v>1.5725018782870022</v>
      </c>
      <c r="G53" s="122">
        <v>0.5</v>
      </c>
      <c r="H53" s="28">
        <f t="shared" ref="H53" si="10">G53*E53*J36</f>
        <v>189.04000000000002</v>
      </c>
      <c r="I53" s="32">
        <f t="shared" si="8"/>
        <v>190.61250187828702</v>
      </c>
      <c r="J53" s="17"/>
      <c r="K53" s="17"/>
    </row>
    <row r="54" spans="1:11" ht="15" thickBot="1" x14ac:dyDescent="0.4">
      <c r="A54" s="61"/>
      <c r="B54" s="17"/>
      <c r="C54" s="17"/>
      <c r="D54" s="237"/>
      <c r="E54" s="17"/>
      <c r="F54" s="17"/>
      <c r="G54" s="17"/>
      <c r="H54" s="17"/>
      <c r="I54" s="238"/>
      <c r="J54" s="17"/>
      <c r="K54" s="17"/>
    </row>
    <row r="55" spans="1:11" ht="15" thickBot="1" x14ac:dyDescent="0.4">
      <c r="B55" s="17"/>
      <c r="C55" s="17"/>
      <c r="D55" s="157" t="s">
        <v>144</v>
      </c>
      <c r="E55" s="178"/>
      <c r="F55" s="179">
        <f t="shared" ref="F55" si="11">E55*J22</f>
        <v>0</v>
      </c>
      <c r="G55" s="180"/>
      <c r="H55" s="160" t="e">
        <f t="shared" ref="H55" si="12">G55*E55*J38</f>
        <v>#DIV/0!</v>
      </c>
      <c r="I55" s="163" t="e">
        <f t="shared" si="8"/>
        <v>#DIV/0!</v>
      </c>
      <c r="J55" s="17"/>
      <c r="K55" s="17"/>
    </row>
    <row r="56" spans="1:11" x14ac:dyDescent="0.35">
      <c r="C56" s="17"/>
      <c r="D56" s="17"/>
      <c r="E56" s="17"/>
      <c r="F56" s="17"/>
      <c r="G56" s="17"/>
      <c r="H56" s="17"/>
      <c r="I56" s="17"/>
      <c r="J56" s="17"/>
    </row>
    <row r="58" spans="1:11" ht="15.5" x14ac:dyDescent="0.35">
      <c r="C58" s="63" t="s">
        <v>102</v>
      </c>
    </row>
    <row r="59" spans="1:11" x14ac:dyDescent="0.35">
      <c r="D59" s="99" t="s">
        <v>94</v>
      </c>
      <c r="E59" s="100">
        <f>(7.48*43560)/92</f>
        <v>3541.6173913043485</v>
      </c>
      <c r="F59" s="21" t="s">
        <v>71</v>
      </c>
    </row>
    <row r="60" spans="1:11" x14ac:dyDescent="0.35">
      <c r="D60" s="99" t="s">
        <v>94</v>
      </c>
      <c r="E60" s="100">
        <f>43560/(92*24*3600)</f>
        <v>5.4800724637681158E-3</v>
      </c>
      <c r="F60" s="21" t="s">
        <v>72</v>
      </c>
    </row>
  </sheetData>
  <sheetProtection algorithmName="SHA-512" hashValue="PG3UZ5RoLoxg8bBBCy1mpXTv8Sz+EFXFuEeTfUBh8Q99s5OLKLspCOcDe6JriXCB00WjGaFWHYHhJ+XNcrXGCg==" saltValue="jzrign1RGDX0CY8VtAXm3g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</sheetPr>
  <dimension ref="A1:L77"/>
  <sheetViews>
    <sheetView topLeftCell="A53" zoomScaleNormal="100" zoomScaleSheetLayoutView="100" workbookViewId="0">
      <selection activeCell="B53" sqref="B53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6384" width="9.1796875" style="21"/>
  </cols>
  <sheetData>
    <row r="1" spans="1:12" x14ac:dyDescent="0.35">
      <c r="G1" s="134"/>
    </row>
    <row r="2" spans="1:12" x14ac:dyDescent="0.35">
      <c r="A2" s="133" t="s">
        <v>109</v>
      </c>
      <c r="G2" s="134"/>
    </row>
    <row r="3" spans="1:12" x14ac:dyDescent="0.35">
      <c r="A3" s="133" t="s">
        <v>107</v>
      </c>
    </row>
    <row r="4" spans="1:12" x14ac:dyDescent="0.35">
      <c r="A4" s="133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ht="15.5" x14ac:dyDescent="0.35">
      <c r="A7" s="17"/>
      <c r="B7" s="17"/>
      <c r="C7" s="63" t="s">
        <v>60</v>
      </c>
      <c r="D7" s="17"/>
      <c r="E7" s="84">
        <v>950</v>
      </c>
      <c r="F7" s="17"/>
      <c r="G7" s="17"/>
      <c r="H7" s="17"/>
      <c r="I7" s="17"/>
      <c r="J7" s="17"/>
      <c r="K7" s="17"/>
      <c r="L7" s="17"/>
    </row>
    <row r="8" spans="1:1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</row>
    <row r="11" spans="1:12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</row>
    <row r="12" spans="1:12" ht="15" customHeight="1" x14ac:dyDescent="0.35">
      <c r="A12" s="61"/>
      <c r="B12" s="19"/>
      <c r="C12" s="17"/>
      <c r="D12" s="10" t="s">
        <v>133</v>
      </c>
      <c r="E12" s="53">
        <v>60</v>
      </c>
      <c r="F12" s="226">
        <v>2.75</v>
      </c>
      <c r="G12" s="29">
        <f>E12*F12</f>
        <v>165</v>
      </c>
      <c r="H12" s="57">
        <v>0.1</v>
      </c>
      <c r="I12" s="35">
        <f>G12*H12</f>
        <v>16.5</v>
      </c>
      <c r="K12" s="17"/>
      <c r="L12" s="17"/>
    </row>
    <row r="13" spans="1:12" ht="15" customHeight="1" x14ac:dyDescent="0.35">
      <c r="A13" s="61"/>
      <c r="B13" s="19"/>
      <c r="C13" s="17"/>
      <c r="D13" s="10" t="s">
        <v>134</v>
      </c>
      <c r="E13" s="53">
        <v>60</v>
      </c>
      <c r="F13" s="226">
        <v>2.75</v>
      </c>
      <c r="G13" s="29">
        <f t="shared" ref="G13:G23" si="0">E13*F13</f>
        <v>165</v>
      </c>
      <c r="H13" s="57">
        <v>0.1</v>
      </c>
      <c r="I13" s="35">
        <f t="shared" ref="I13:I23" si="1">G13*H13</f>
        <v>16.5</v>
      </c>
      <c r="K13" s="17"/>
      <c r="L13" s="17"/>
    </row>
    <row r="14" spans="1:12" x14ac:dyDescent="0.35">
      <c r="A14" s="62"/>
      <c r="B14" s="17"/>
      <c r="C14" s="17"/>
      <c r="D14" s="10" t="s">
        <v>135</v>
      </c>
      <c r="E14" s="53">
        <v>60</v>
      </c>
      <c r="F14" s="226">
        <v>2.75</v>
      </c>
      <c r="G14" s="29">
        <f t="shared" si="0"/>
        <v>165</v>
      </c>
      <c r="H14" s="57">
        <v>0.1</v>
      </c>
      <c r="I14" s="35">
        <f t="shared" si="1"/>
        <v>16.5</v>
      </c>
      <c r="K14" s="17"/>
      <c r="L14" s="17"/>
    </row>
    <row r="15" spans="1:12" x14ac:dyDescent="0.35">
      <c r="A15" s="62"/>
      <c r="B15" s="17"/>
      <c r="C15" s="17"/>
      <c r="D15" s="20" t="s">
        <v>136</v>
      </c>
      <c r="E15" s="53">
        <v>60</v>
      </c>
      <c r="F15" s="226">
        <v>2.73</v>
      </c>
      <c r="G15" s="29">
        <f t="shared" si="0"/>
        <v>163.80000000000001</v>
      </c>
      <c r="H15" s="57">
        <v>0.1</v>
      </c>
      <c r="I15" s="35">
        <f t="shared" si="1"/>
        <v>16.380000000000003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137</v>
      </c>
      <c r="E16" s="53">
        <v>60</v>
      </c>
      <c r="F16" s="226">
        <v>2.7382</v>
      </c>
      <c r="G16" s="29">
        <f t="shared" si="0"/>
        <v>164.292</v>
      </c>
      <c r="H16" s="57">
        <v>0.1</v>
      </c>
      <c r="I16" s="35">
        <f t="shared" si="1"/>
        <v>16.429200000000002</v>
      </c>
      <c r="K16" s="17"/>
      <c r="L16" s="17"/>
    </row>
    <row r="17" spans="1:12" ht="15" customHeight="1" x14ac:dyDescent="0.35">
      <c r="A17" s="62"/>
      <c r="B17" s="17"/>
      <c r="C17" s="17"/>
      <c r="D17" s="10" t="s">
        <v>138</v>
      </c>
      <c r="E17" s="53">
        <v>60</v>
      </c>
      <c r="F17" s="226">
        <v>2.73</v>
      </c>
      <c r="G17" s="29">
        <f t="shared" si="0"/>
        <v>163.80000000000001</v>
      </c>
      <c r="H17" s="57">
        <v>0.1</v>
      </c>
      <c r="I17" s="35">
        <f t="shared" si="1"/>
        <v>16.380000000000003</v>
      </c>
      <c r="K17" s="17"/>
      <c r="L17" s="17"/>
    </row>
    <row r="18" spans="1:12" x14ac:dyDescent="0.35">
      <c r="A18" s="62"/>
      <c r="B18" s="17"/>
      <c r="C18" s="17"/>
      <c r="D18" s="10" t="s">
        <v>139</v>
      </c>
      <c r="E18" s="53">
        <v>60</v>
      </c>
      <c r="F18" s="226">
        <v>2.73</v>
      </c>
      <c r="G18" s="29">
        <f t="shared" si="0"/>
        <v>163.80000000000001</v>
      </c>
      <c r="H18" s="57">
        <v>0.1</v>
      </c>
      <c r="I18" s="35">
        <f t="shared" si="1"/>
        <v>16.380000000000003</v>
      </c>
      <c r="K18" s="17"/>
      <c r="L18" s="17"/>
    </row>
    <row r="19" spans="1:12" x14ac:dyDescent="0.35">
      <c r="A19" s="62"/>
      <c r="B19" s="17"/>
      <c r="C19" s="17"/>
      <c r="D19" s="10" t="s">
        <v>140</v>
      </c>
      <c r="E19" s="53">
        <v>60</v>
      </c>
      <c r="F19" s="226">
        <v>2.73</v>
      </c>
      <c r="G19" s="29">
        <f t="shared" si="0"/>
        <v>163.80000000000001</v>
      </c>
      <c r="H19" s="57">
        <v>0.1</v>
      </c>
      <c r="I19" s="35">
        <f t="shared" si="1"/>
        <v>16.380000000000003</v>
      </c>
      <c r="K19" s="17"/>
      <c r="L19" s="17"/>
    </row>
    <row r="20" spans="1:12" ht="15.75" customHeight="1" x14ac:dyDescent="0.35">
      <c r="A20" s="62"/>
      <c r="B20" s="17"/>
      <c r="C20" s="17"/>
      <c r="D20" s="196" t="s">
        <v>141</v>
      </c>
      <c r="E20" s="205">
        <v>60</v>
      </c>
      <c r="F20" s="227">
        <v>2.73</v>
      </c>
      <c r="G20" s="29">
        <f t="shared" si="0"/>
        <v>163.80000000000001</v>
      </c>
      <c r="H20" s="57">
        <v>0.1</v>
      </c>
      <c r="I20" s="35">
        <f t="shared" si="1"/>
        <v>16.380000000000003</v>
      </c>
      <c r="K20" s="17"/>
      <c r="L20" s="17"/>
    </row>
    <row r="21" spans="1:12" ht="15" customHeight="1" thickBot="1" x14ac:dyDescent="0.4">
      <c r="A21" s="62"/>
      <c r="B21" s="17"/>
      <c r="C21" s="17"/>
      <c r="D21" s="11" t="s">
        <v>142</v>
      </c>
      <c r="E21" s="55">
        <v>60</v>
      </c>
      <c r="F21" s="228">
        <v>2.73</v>
      </c>
      <c r="G21" s="29">
        <f t="shared" si="0"/>
        <v>163.80000000000001</v>
      </c>
      <c r="H21" s="58">
        <v>0.1</v>
      </c>
      <c r="I21" s="36">
        <f t="shared" si="1"/>
        <v>16.380000000000003</v>
      </c>
      <c r="K21" s="17"/>
      <c r="L21" s="17"/>
    </row>
    <row r="22" spans="1:12" ht="15" customHeight="1" thickBot="1" x14ac:dyDescent="0.4">
      <c r="A22" s="62"/>
      <c r="B22" s="17"/>
      <c r="C22" s="17"/>
      <c r="K22" s="17"/>
      <c r="L22" s="17"/>
    </row>
    <row r="23" spans="1:12" ht="15" thickBot="1" x14ac:dyDescent="0.4">
      <c r="A23" s="62"/>
      <c r="B23" s="17"/>
      <c r="C23" s="17"/>
      <c r="D23" s="157" t="s">
        <v>144</v>
      </c>
      <c r="E23" s="158"/>
      <c r="F23" s="159"/>
      <c r="G23" s="162">
        <f t="shared" si="0"/>
        <v>0</v>
      </c>
      <c r="H23" s="161"/>
      <c r="I23" s="181">
        <f t="shared" si="1"/>
        <v>0</v>
      </c>
      <c r="K23" s="17"/>
      <c r="L23" s="17"/>
    </row>
    <row r="24" spans="1:12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</row>
    <row r="25" spans="1:12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</row>
    <row r="27" spans="1:12" ht="58" x14ac:dyDescent="0.35">
      <c r="A27" s="61"/>
      <c r="B27" s="17"/>
      <c r="C27" s="17"/>
      <c r="D27" s="135" t="s">
        <v>105</v>
      </c>
      <c r="E27" s="12" t="s">
        <v>97</v>
      </c>
      <c r="F27" s="13" t="s">
        <v>16</v>
      </c>
      <c r="G27" s="13" t="s">
        <v>98</v>
      </c>
      <c r="H27" s="9" t="s">
        <v>99</v>
      </c>
      <c r="I27" s="17"/>
      <c r="J27" s="17"/>
    </row>
    <row r="28" spans="1:12" x14ac:dyDescent="0.35">
      <c r="A28" s="61"/>
      <c r="B28" s="17"/>
      <c r="C28" s="17"/>
      <c r="D28" s="10" t="s">
        <v>133</v>
      </c>
      <c r="E28" s="53">
        <v>11.99</v>
      </c>
      <c r="F28" s="57">
        <v>0.75</v>
      </c>
      <c r="G28" s="29">
        <f>E28/F28</f>
        <v>15.986666666666666</v>
      </c>
      <c r="H28" s="35">
        <f>G28/12</f>
        <v>1.3322222222222222</v>
      </c>
      <c r="I28" s="17"/>
      <c r="J28" s="17"/>
    </row>
    <row r="29" spans="1:12" x14ac:dyDescent="0.35">
      <c r="A29" s="17"/>
      <c r="B29" s="17"/>
      <c r="C29" s="17"/>
      <c r="D29" s="10" t="s">
        <v>134</v>
      </c>
      <c r="E29" s="53">
        <v>11.44</v>
      </c>
      <c r="F29" s="57">
        <v>0.75</v>
      </c>
      <c r="G29" s="29">
        <f t="shared" ref="G29:G39" si="2">E29/F29</f>
        <v>15.253333333333332</v>
      </c>
      <c r="H29" s="35">
        <f t="shared" ref="H29:H39" si="3">G29/12</f>
        <v>1.2711111111111111</v>
      </c>
      <c r="I29" s="17"/>
      <c r="J29" s="17"/>
    </row>
    <row r="30" spans="1:12" x14ac:dyDescent="0.35">
      <c r="A30" s="17"/>
      <c r="B30" s="17"/>
      <c r="C30" s="17"/>
      <c r="D30" s="10" t="s">
        <v>135</v>
      </c>
      <c r="E30" s="53">
        <v>11.22</v>
      </c>
      <c r="F30" s="57">
        <v>0.75</v>
      </c>
      <c r="G30" s="29">
        <f t="shared" si="2"/>
        <v>14.96</v>
      </c>
      <c r="H30" s="35">
        <f t="shared" si="3"/>
        <v>1.2466666666666668</v>
      </c>
      <c r="I30" s="17"/>
      <c r="J30" s="17"/>
    </row>
    <row r="31" spans="1:12" x14ac:dyDescent="0.35">
      <c r="A31" s="17"/>
      <c r="B31" s="17"/>
      <c r="C31" s="17"/>
      <c r="D31" s="20" t="s">
        <v>136</v>
      </c>
      <c r="E31" s="53">
        <v>12.45</v>
      </c>
      <c r="F31" s="57">
        <v>0.75</v>
      </c>
      <c r="G31" s="29">
        <f t="shared" si="2"/>
        <v>16.599999999999998</v>
      </c>
      <c r="H31" s="35">
        <f t="shared" si="3"/>
        <v>1.3833333333333331</v>
      </c>
      <c r="I31" s="17"/>
      <c r="J31" s="17"/>
    </row>
    <row r="32" spans="1:12" x14ac:dyDescent="0.35">
      <c r="A32" s="17"/>
      <c r="B32" s="17"/>
      <c r="C32" s="17"/>
      <c r="D32" s="10" t="s">
        <v>137</v>
      </c>
      <c r="E32" s="53">
        <v>11.7</v>
      </c>
      <c r="F32" s="57">
        <v>0.75</v>
      </c>
      <c r="G32" s="29">
        <f t="shared" si="2"/>
        <v>15.6</v>
      </c>
      <c r="H32" s="35">
        <f t="shared" si="3"/>
        <v>1.3</v>
      </c>
      <c r="I32" s="17"/>
      <c r="J32" s="17"/>
    </row>
    <row r="33" spans="1:12" x14ac:dyDescent="0.35">
      <c r="A33" s="17"/>
      <c r="B33" s="17"/>
      <c r="C33" s="17"/>
      <c r="D33" s="10" t="s">
        <v>138</v>
      </c>
      <c r="E33" s="53">
        <v>13.22</v>
      </c>
      <c r="F33" s="57">
        <v>0.75</v>
      </c>
      <c r="G33" s="29">
        <f t="shared" si="2"/>
        <v>17.626666666666669</v>
      </c>
      <c r="H33" s="35">
        <f t="shared" si="3"/>
        <v>1.4688888888888891</v>
      </c>
      <c r="I33" s="17"/>
      <c r="J33" s="17"/>
    </row>
    <row r="34" spans="1:12" x14ac:dyDescent="0.35">
      <c r="A34" s="17"/>
      <c r="B34" s="17"/>
      <c r="C34" s="17"/>
      <c r="D34" s="10" t="s">
        <v>139</v>
      </c>
      <c r="E34" s="53">
        <v>12.88</v>
      </c>
      <c r="F34" s="57">
        <v>0.75</v>
      </c>
      <c r="G34" s="29">
        <f t="shared" si="2"/>
        <v>17.173333333333336</v>
      </c>
      <c r="H34" s="35">
        <f t="shared" si="3"/>
        <v>1.4311111111111112</v>
      </c>
      <c r="I34" s="17"/>
      <c r="J34" s="17"/>
    </row>
    <row r="35" spans="1:12" x14ac:dyDescent="0.35">
      <c r="A35" s="17"/>
      <c r="B35" s="17"/>
      <c r="C35" s="17"/>
      <c r="D35" s="10" t="s">
        <v>140</v>
      </c>
      <c r="E35" s="53">
        <v>12.43</v>
      </c>
      <c r="F35" s="57">
        <v>0.75</v>
      </c>
      <c r="G35" s="29">
        <f t="shared" si="2"/>
        <v>16.573333333333334</v>
      </c>
      <c r="H35" s="35">
        <f t="shared" si="3"/>
        <v>1.3811111111111112</v>
      </c>
      <c r="I35" s="17"/>
      <c r="J35" s="17"/>
      <c r="K35" s="101"/>
      <c r="L35" s="101"/>
    </row>
    <row r="36" spans="1:12" x14ac:dyDescent="0.35">
      <c r="A36" s="17"/>
      <c r="B36" s="17"/>
      <c r="C36" s="17"/>
      <c r="D36" s="196" t="s">
        <v>141</v>
      </c>
      <c r="E36" s="205">
        <v>12.05</v>
      </c>
      <c r="F36" s="207">
        <v>0.75</v>
      </c>
      <c r="G36" s="29">
        <f t="shared" si="2"/>
        <v>16.066666666666666</v>
      </c>
      <c r="H36" s="35">
        <f t="shared" si="3"/>
        <v>1.3388888888888888</v>
      </c>
      <c r="I36" s="17"/>
      <c r="J36" s="17"/>
      <c r="K36" s="101"/>
      <c r="L36" s="101"/>
    </row>
    <row r="37" spans="1:12" ht="15" thickBot="1" x14ac:dyDescent="0.4">
      <c r="A37" s="17"/>
      <c r="B37" s="17"/>
      <c r="C37" s="17"/>
      <c r="D37" s="11" t="s">
        <v>142</v>
      </c>
      <c r="E37" s="55">
        <v>12.51</v>
      </c>
      <c r="F37" s="58">
        <v>0.75</v>
      </c>
      <c r="G37" s="31">
        <f t="shared" si="2"/>
        <v>16.68</v>
      </c>
      <c r="H37" s="36">
        <f t="shared" si="3"/>
        <v>1.39</v>
      </c>
      <c r="I37" s="17"/>
      <c r="J37" s="17"/>
    </row>
    <row r="38" spans="1:12" ht="15" thickBot="1" x14ac:dyDescent="0.4">
      <c r="A38" s="17"/>
      <c r="B38" s="17"/>
      <c r="C38" s="17"/>
      <c r="I38" s="17"/>
      <c r="J38" s="17"/>
    </row>
    <row r="39" spans="1:12" ht="15" thickBot="1" x14ac:dyDescent="0.4">
      <c r="A39" s="17"/>
      <c r="B39" s="17"/>
      <c r="C39" s="17"/>
      <c r="D39" s="157" t="s">
        <v>144</v>
      </c>
      <c r="E39" s="177"/>
      <c r="F39" s="161"/>
      <c r="G39" s="162" t="e">
        <f t="shared" si="2"/>
        <v>#DIV/0!</v>
      </c>
      <c r="H39" s="181" t="e">
        <f t="shared" si="3"/>
        <v>#DIV/0!</v>
      </c>
      <c r="I39" s="17"/>
      <c r="J39" s="17"/>
    </row>
    <row r="40" spans="1:1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</row>
    <row r="42" spans="1:12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</row>
    <row r="43" spans="1:12" ht="43.5" x14ac:dyDescent="0.35">
      <c r="A43" s="17"/>
      <c r="B43" s="17"/>
      <c r="C43" s="17"/>
      <c r="D43" s="135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96</v>
      </c>
      <c r="L43" s="9" t="s">
        <v>69</v>
      </c>
    </row>
    <row r="44" spans="1:12" ht="15" customHeight="1" x14ac:dyDescent="0.35">
      <c r="A44" s="19"/>
      <c r="B44" s="17"/>
      <c r="C44" s="17"/>
      <c r="D44" s="10" t="s">
        <v>133</v>
      </c>
      <c r="E44" s="138">
        <f t="shared" ref="E44:E53" si="4">G12</f>
        <v>165</v>
      </c>
      <c r="F44" s="88">
        <f>$E$7-E44</f>
        <v>785</v>
      </c>
      <c r="G44" s="27">
        <f t="shared" ref="G44:G53" si="5">F44/$E$76</f>
        <v>0.22165014265160105</v>
      </c>
      <c r="H44" s="88">
        <f t="shared" ref="H44:H53" si="6">G44/H28</f>
        <v>0.16637625386692323</v>
      </c>
      <c r="I44" s="148">
        <f>H44</f>
        <v>0.16637625386692323</v>
      </c>
      <c r="J44" s="57">
        <v>0.8</v>
      </c>
      <c r="K44" s="95">
        <f t="shared" ref="K44:K53" si="7">I44*H28*J44</f>
        <v>0.17732011412128085</v>
      </c>
      <c r="L44" s="35">
        <f t="shared" ref="L44:L53" si="8">K44*$E$76</f>
        <v>628</v>
      </c>
    </row>
    <row r="45" spans="1:12" x14ac:dyDescent="0.35">
      <c r="A45" s="61"/>
      <c r="B45" s="17"/>
      <c r="C45" s="17"/>
      <c r="D45" s="10" t="s">
        <v>134</v>
      </c>
      <c r="E45" s="138">
        <f t="shared" si="4"/>
        <v>165</v>
      </c>
      <c r="F45" s="88">
        <f t="shared" ref="F45:F55" si="9">$E$7-E45</f>
        <v>785</v>
      </c>
      <c r="G45" s="27">
        <f t="shared" si="5"/>
        <v>0.22165014265160105</v>
      </c>
      <c r="H45" s="88">
        <f t="shared" si="6"/>
        <v>0.17437511222590993</v>
      </c>
      <c r="I45" s="148">
        <f t="shared" ref="I45:I53" si="10">H45</f>
        <v>0.17437511222590993</v>
      </c>
      <c r="J45" s="57">
        <v>0.8</v>
      </c>
      <c r="K45" s="95">
        <f t="shared" si="7"/>
        <v>0.17732011412128088</v>
      </c>
      <c r="L45" s="35">
        <f t="shared" si="8"/>
        <v>628.00000000000011</v>
      </c>
    </row>
    <row r="46" spans="1:12" x14ac:dyDescent="0.35">
      <c r="A46" s="61"/>
      <c r="B46" s="17"/>
      <c r="C46" s="17"/>
      <c r="D46" s="10" t="s">
        <v>135</v>
      </c>
      <c r="E46" s="138">
        <f t="shared" si="4"/>
        <v>165</v>
      </c>
      <c r="F46" s="88">
        <f t="shared" si="9"/>
        <v>785</v>
      </c>
      <c r="G46" s="27">
        <f t="shared" si="5"/>
        <v>0.22165014265160105</v>
      </c>
      <c r="H46" s="88">
        <f t="shared" si="6"/>
        <v>0.17779423207347675</v>
      </c>
      <c r="I46" s="148">
        <f t="shared" si="10"/>
        <v>0.17779423207347675</v>
      </c>
      <c r="J46" s="57">
        <v>0.8</v>
      </c>
      <c r="K46" s="95">
        <f t="shared" si="7"/>
        <v>0.17732011412128085</v>
      </c>
      <c r="L46" s="35">
        <f t="shared" si="8"/>
        <v>628</v>
      </c>
    </row>
    <row r="47" spans="1:12" x14ac:dyDescent="0.35">
      <c r="A47" s="61"/>
      <c r="B47" s="17"/>
      <c r="C47" s="17"/>
      <c r="D47" s="20" t="s">
        <v>136</v>
      </c>
      <c r="E47" s="138">
        <f t="shared" si="4"/>
        <v>163.80000000000001</v>
      </c>
      <c r="F47" s="88">
        <f t="shared" si="9"/>
        <v>786.2</v>
      </c>
      <c r="G47" s="27">
        <f t="shared" si="5"/>
        <v>0.22198897089514491</v>
      </c>
      <c r="H47" s="88">
        <f t="shared" si="6"/>
        <v>0.16047395486396021</v>
      </c>
      <c r="I47" s="148">
        <f t="shared" si="10"/>
        <v>0.16047395486396021</v>
      </c>
      <c r="J47" s="57">
        <v>0.8</v>
      </c>
      <c r="K47" s="95">
        <f t="shared" si="7"/>
        <v>0.17759117671611593</v>
      </c>
      <c r="L47" s="35">
        <f t="shared" si="8"/>
        <v>628.96</v>
      </c>
    </row>
    <row r="48" spans="1:12" ht="15.75" customHeight="1" x14ac:dyDescent="0.35">
      <c r="A48" s="61"/>
      <c r="B48" s="17"/>
      <c r="C48" s="17"/>
      <c r="D48" s="10" t="s">
        <v>137</v>
      </c>
      <c r="E48" s="138">
        <f t="shared" si="4"/>
        <v>164.292</v>
      </c>
      <c r="F48" s="88">
        <f t="shared" si="9"/>
        <v>785.70799999999997</v>
      </c>
      <c r="G48" s="27">
        <f t="shared" si="5"/>
        <v>0.2218500513152919</v>
      </c>
      <c r="H48" s="88">
        <f t="shared" si="6"/>
        <v>0.17065388562714762</v>
      </c>
      <c r="I48" s="148">
        <f t="shared" si="10"/>
        <v>0.17065388562714762</v>
      </c>
      <c r="J48" s="57">
        <v>0.8</v>
      </c>
      <c r="K48" s="95">
        <f t="shared" si="7"/>
        <v>0.17748004105223353</v>
      </c>
      <c r="L48" s="35">
        <f t="shared" si="8"/>
        <v>628.56640000000004</v>
      </c>
    </row>
    <row r="49" spans="1:12" x14ac:dyDescent="0.35">
      <c r="A49" s="19"/>
      <c r="B49" s="17"/>
      <c r="C49" s="17"/>
      <c r="D49" s="10" t="s">
        <v>138</v>
      </c>
      <c r="E49" s="138">
        <f t="shared" si="4"/>
        <v>163.80000000000001</v>
      </c>
      <c r="F49" s="88">
        <f t="shared" si="9"/>
        <v>786.2</v>
      </c>
      <c r="G49" s="27">
        <f t="shared" si="5"/>
        <v>0.22198897089514491</v>
      </c>
      <c r="H49" s="88">
        <f t="shared" si="6"/>
        <v>0.15112713601031041</v>
      </c>
      <c r="I49" s="148">
        <f t="shared" si="10"/>
        <v>0.15112713601031041</v>
      </c>
      <c r="J49" s="57">
        <v>0.8</v>
      </c>
      <c r="K49" s="95">
        <f t="shared" si="7"/>
        <v>0.17759117671611591</v>
      </c>
      <c r="L49" s="35">
        <f t="shared" si="8"/>
        <v>628.95999999999992</v>
      </c>
    </row>
    <row r="50" spans="1:12" x14ac:dyDescent="0.35">
      <c r="A50" s="61"/>
      <c r="B50" s="17"/>
      <c r="C50" s="17"/>
      <c r="D50" s="10" t="s">
        <v>139</v>
      </c>
      <c r="E50" s="138">
        <f t="shared" si="4"/>
        <v>163.80000000000001</v>
      </c>
      <c r="F50" s="88">
        <f t="shared" si="9"/>
        <v>786.2</v>
      </c>
      <c r="G50" s="27">
        <f t="shared" si="5"/>
        <v>0.22198897089514491</v>
      </c>
      <c r="H50" s="88">
        <f t="shared" si="6"/>
        <v>0.15511651692983727</v>
      </c>
      <c r="I50" s="148">
        <f t="shared" si="10"/>
        <v>0.15511651692983727</v>
      </c>
      <c r="J50" s="57">
        <v>0.8</v>
      </c>
      <c r="K50" s="95">
        <f t="shared" si="7"/>
        <v>0.17759117671611593</v>
      </c>
      <c r="L50" s="35">
        <f t="shared" si="8"/>
        <v>628.96</v>
      </c>
    </row>
    <row r="51" spans="1:12" x14ac:dyDescent="0.35">
      <c r="A51" s="61"/>
      <c r="B51" s="17"/>
      <c r="C51" s="17"/>
      <c r="D51" s="10" t="s">
        <v>140</v>
      </c>
      <c r="E51" s="138">
        <f t="shared" si="4"/>
        <v>163.80000000000001</v>
      </c>
      <c r="F51" s="88">
        <f t="shared" si="9"/>
        <v>786.2</v>
      </c>
      <c r="G51" s="27">
        <f t="shared" si="5"/>
        <v>0.22198897089514491</v>
      </c>
      <c r="H51" s="88">
        <f t="shared" si="6"/>
        <v>0.16073215913566405</v>
      </c>
      <c r="I51" s="148">
        <f t="shared" si="10"/>
        <v>0.16073215913566405</v>
      </c>
      <c r="J51" s="57">
        <v>0.8</v>
      </c>
      <c r="K51" s="95">
        <f t="shared" si="7"/>
        <v>0.17759117671611593</v>
      </c>
      <c r="L51" s="35">
        <f t="shared" si="8"/>
        <v>628.96</v>
      </c>
    </row>
    <row r="52" spans="1:12" ht="15" customHeight="1" x14ac:dyDescent="0.35">
      <c r="A52" s="61"/>
      <c r="B52" s="17"/>
      <c r="C52" s="17"/>
      <c r="D52" s="196" t="s">
        <v>141</v>
      </c>
      <c r="E52" s="138">
        <f t="shared" si="4"/>
        <v>163.80000000000001</v>
      </c>
      <c r="F52" s="88">
        <f t="shared" si="9"/>
        <v>786.2</v>
      </c>
      <c r="G52" s="27">
        <f t="shared" si="5"/>
        <v>0.22198897089514491</v>
      </c>
      <c r="H52" s="88">
        <f t="shared" si="6"/>
        <v>0.16580089112500451</v>
      </c>
      <c r="I52" s="148">
        <f t="shared" si="10"/>
        <v>0.16580089112500451</v>
      </c>
      <c r="J52" s="57">
        <v>0.8</v>
      </c>
      <c r="K52" s="95">
        <f t="shared" si="7"/>
        <v>0.17759117671611593</v>
      </c>
      <c r="L52" s="35">
        <f t="shared" si="8"/>
        <v>628.96</v>
      </c>
    </row>
    <row r="53" spans="1:12" ht="15" thickBot="1" x14ac:dyDescent="0.4">
      <c r="A53" s="61"/>
      <c r="B53" s="17"/>
      <c r="C53" s="17"/>
      <c r="D53" s="11" t="s">
        <v>142</v>
      </c>
      <c r="E53" s="139">
        <f t="shared" si="4"/>
        <v>163.80000000000001</v>
      </c>
      <c r="F53" s="89">
        <f t="shared" si="9"/>
        <v>786.2</v>
      </c>
      <c r="G53" s="28">
        <f t="shared" si="5"/>
        <v>0.22198897089514491</v>
      </c>
      <c r="H53" s="89">
        <f t="shared" si="6"/>
        <v>0.15970429560801794</v>
      </c>
      <c r="I53" s="149">
        <f t="shared" si="10"/>
        <v>0.15970429560801794</v>
      </c>
      <c r="J53" s="58">
        <v>0.8</v>
      </c>
      <c r="K53" s="96">
        <f t="shared" si="7"/>
        <v>0.17759117671611593</v>
      </c>
      <c r="L53" s="36">
        <f t="shared" si="8"/>
        <v>628.96</v>
      </c>
    </row>
    <row r="54" spans="1:12" ht="15" thickBot="1" x14ac:dyDescent="0.4">
      <c r="A54" s="61"/>
      <c r="B54" s="17"/>
      <c r="C54" s="17"/>
    </row>
    <row r="55" spans="1:12" ht="15" thickBot="1" x14ac:dyDescent="0.4">
      <c r="A55" s="61"/>
      <c r="B55" s="17"/>
      <c r="C55" s="17"/>
      <c r="D55" s="157" t="s">
        <v>144</v>
      </c>
      <c r="E55" s="182">
        <f t="shared" ref="E55" si="11">G23</f>
        <v>0</v>
      </c>
      <c r="F55" s="183">
        <f t="shared" si="9"/>
        <v>950</v>
      </c>
      <c r="G55" s="160">
        <f>F55/$E$76</f>
        <v>0.26823902613888023</v>
      </c>
      <c r="H55" s="183" t="e">
        <f t="shared" ref="H55" si="12">G55/H39</f>
        <v>#DIV/0!</v>
      </c>
      <c r="I55" s="184"/>
      <c r="J55" s="161"/>
      <c r="K55" s="185" t="e">
        <f t="shared" ref="K55" si="13">I55*H39*J55</f>
        <v>#DIV/0!</v>
      </c>
      <c r="L55" s="181" t="e">
        <f>K55*$E$76</f>
        <v>#DIV/0!</v>
      </c>
    </row>
    <row r="56" spans="1:12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.5" x14ac:dyDescent="0.35">
      <c r="C57" s="63" t="s">
        <v>100</v>
      </c>
      <c r="D57" s="17"/>
      <c r="E57" s="17"/>
      <c r="F57" s="17"/>
      <c r="G57" s="17"/>
      <c r="H57" s="17"/>
      <c r="I57" s="17"/>
      <c r="J57" s="17"/>
      <c r="K57" s="17"/>
    </row>
    <row r="58" spans="1:12" x14ac:dyDescent="0.35">
      <c r="C58" s="17"/>
      <c r="D58" s="17"/>
      <c r="E58" s="17"/>
    </row>
    <row r="59" spans="1:12" ht="15" thickBot="1" x14ac:dyDescent="0.4">
      <c r="C59" s="17"/>
      <c r="D59" s="17"/>
      <c r="E59" s="64"/>
    </row>
    <row r="60" spans="1:12" ht="58" x14ac:dyDescent="0.35">
      <c r="C60" s="17"/>
      <c r="D60" s="23" t="s">
        <v>105</v>
      </c>
      <c r="E60" s="26" t="s">
        <v>18</v>
      </c>
      <c r="F60" s="137" t="s">
        <v>91</v>
      </c>
      <c r="G60" s="13" t="s">
        <v>49</v>
      </c>
      <c r="H60" s="13" t="s">
        <v>106</v>
      </c>
      <c r="I60" s="9" t="s">
        <v>92</v>
      </c>
    </row>
    <row r="61" spans="1:12" x14ac:dyDescent="0.35">
      <c r="C61" s="17"/>
      <c r="D61" s="24" t="s">
        <v>133</v>
      </c>
      <c r="E61" s="229">
        <v>2</v>
      </c>
      <c r="F61" s="33">
        <f t="shared" ref="F61:F70" si="14">I12*E61/$E$76</f>
        <v>9.3177766974558394E-3</v>
      </c>
      <c r="G61" s="120">
        <f t="shared" ref="G61:G69" si="15">I44</f>
        <v>0.16637625386692323</v>
      </c>
      <c r="H61" s="123">
        <f t="shared" ref="H61:H70" si="16">E61*K44</f>
        <v>0.35464022824256169</v>
      </c>
      <c r="I61" s="30">
        <f>F61+H61</f>
        <v>0.36395800494001751</v>
      </c>
    </row>
    <row r="62" spans="1:12" x14ac:dyDescent="0.35">
      <c r="C62" s="17"/>
      <c r="D62" s="24" t="s">
        <v>134</v>
      </c>
      <c r="E62" s="229">
        <v>5</v>
      </c>
      <c r="F62" s="33">
        <f t="shared" si="14"/>
        <v>2.32944417436396E-2</v>
      </c>
      <c r="G62" s="120">
        <f t="shared" si="15"/>
        <v>0.17437511222590993</v>
      </c>
      <c r="H62" s="123">
        <f t="shared" si="16"/>
        <v>0.8866005706064044</v>
      </c>
      <c r="I62" s="30">
        <f t="shared" ref="I62:I72" si="17">F62+H62</f>
        <v>0.909895012350044</v>
      </c>
    </row>
    <row r="63" spans="1:12" x14ac:dyDescent="0.35">
      <c r="C63" s="17"/>
      <c r="D63" s="24" t="s">
        <v>135</v>
      </c>
      <c r="E63" s="229">
        <v>118</v>
      </c>
      <c r="F63" s="33">
        <f t="shared" si="14"/>
        <v>0.54974882514989454</v>
      </c>
      <c r="G63" s="120">
        <f t="shared" si="15"/>
        <v>0.17779423207347675</v>
      </c>
      <c r="H63" s="123">
        <f t="shared" si="16"/>
        <v>20.92377346631114</v>
      </c>
      <c r="I63" s="30">
        <f t="shared" si="17"/>
        <v>21.473522291461034</v>
      </c>
    </row>
    <row r="64" spans="1:12" x14ac:dyDescent="0.35">
      <c r="C64" s="17"/>
      <c r="D64" s="24" t="s">
        <v>136</v>
      </c>
      <c r="E64" s="229">
        <v>8</v>
      </c>
      <c r="F64" s="33">
        <f t="shared" si="14"/>
        <v>3.7000044194988285E-2</v>
      </c>
      <c r="G64" s="120">
        <f t="shared" si="15"/>
        <v>0.16047395486396021</v>
      </c>
      <c r="H64" s="123">
        <f t="shared" si="16"/>
        <v>1.4207294137289275</v>
      </c>
      <c r="I64" s="30">
        <f t="shared" si="17"/>
        <v>1.4577294579239157</v>
      </c>
    </row>
    <row r="65" spans="3:10" x14ac:dyDescent="0.35">
      <c r="C65" s="17"/>
      <c r="D65" s="24" t="s">
        <v>137</v>
      </c>
      <c r="E65" s="229">
        <v>234</v>
      </c>
      <c r="F65" s="33">
        <f t="shared" si="14"/>
        <v>1.0855020108719671</v>
      </c>
      <c r="G65" s="120">
        <f t="shared" si="15"/>
        <v>0.17065388562714762</v>
      </c>
      <c r="H65" s="123">
        <f t="shared" si="16"/>
        <v>41.530329606222644</v>
      </c>
      <c r="I65" s="30">
        <f t="shared" si="17"/>
        <v>42.615831617094614</v>
      </c>
    </row>
    <row r="66" spans="3:10" x14ac:dyDescent="0.35">
      <c r="C66" s="17"/>
      <c r="D66" s="24" t="s">
        <v>138</v>
      </c>
      <c r="E66" s="229">
        <v>4</v>
      </c>
      <c r="F66" s="33">
        <f t="shared" si="14"/>
        <v>1.8500022097494143E-2</v>
      </c>
      <c r="G66" s="120">
        <f t="shared" si="15"/>
        <v>0.15112713601031041</v>
      </c>
      <c r="H66" s="123">
        <f t="shared" si="16"/>
        <v>0.71036470686446362</v>
      </c>
      <c r="I66" s="30">
        <f t="shared" si="17"/>
        <v>0.72886472896195775</v>
      </c>
    </row>
    <row r="67" spans="3:10" x14ac:dyDescent="0.35">
      <c r="C67" s="17"/>
      <c r="D67" s="24" t="s">
        <v>139</v>
      </c>
      <c r="E67" s="229">
        <v>15</v>
      </c>
      <c r="F67" s="33">
        <f t="shared" si="14"/>
        <v>6.9375082865603038E-2</v>
      </c>
      <c r="G67" s="120">
        <f t="shared" si="15"/>
        <v>0.15511651692983727</v>
      </c>
      <c r="H67" s="123">
        <f t="shared" si="16"/>
        <v>2.6638676507417389</v>
      </c>
      <c r="I67" s="30">
        <f t="shared" si="17"/>
        <v>2.7332427336073422</v>
      </c>
    </row>
    <row r="68" spans="3:10" x14ac:dyDescent="0.35">
      <c r="C68" s="17"/>
      <c r="D68" s="24" t="s">
        <v>140</v>
      </c>
      <c r="E68" s="229">
        <v>6</v>
      </c>
      <c r="F68" s="33">
        <f t="shared" si="14"/>
        <v>2.7750033146241214E-2</v>
      </c>
      <c r="G68" s="120">
        <f t="shared" si="15"/>
        <v>0.16073215913566405</v>
      </c>
      <c r="H68" s="123">
        <f t="shared" si="16"/>
        <v>1.0655470602966957</v>
      </c>
      <c r="I68" s="30">
        <f t="shared" si="17"/>
        <v>1.0932970934429369</v>
      </c>
    </row>
    <row r="69" spans="3:10" x14ac:dyDescent="0.35">
      <c r="C69" s="17"/>
      <c r="D69" s="208" t="s">
        <v>141</v>
      </c>
      <c r="E69" s="229">
        <v>235</v>
      </c>
      <c r="F69" s="33">
        <f t="shared" si="14"/>
        <v>1.0868762982277809</v>
      </c>
      <c r="G69" s="120">
        <f t="shared" si="15"/>
        <v>0.16580089112500451</v>
      </c>
      <c r="H69" s="123">
        <f t="shared" si="16"/>
        <v>41.733926528287242</v>
      </c>
      <c r="I69" s="30">
        <f t="shared" si="17"/>
        <v>42.82080282651502</v>
      </c>
    </row>
    <row r="70" spans="3:10" ht="15" thickBot="1" x14ac:dyDescent="0.4">
      <c r="C70" s="17"/>
      <c r="D70" s="25" t="s">
        <v>142</v>
      </c>
      <c r="E70" s="230">
        <v>340</v>
      </c>
      <c r="F70" s="119">
        <f t="shared" si="14"/>
        <v>1.5725018782870022</v>
      </c>
      <c r="G70" s="121">
        <f>I53</f>
        <v>0.15970429560801794</v>
      </c>
      <c r="H70" s="124">
        <f t="shared" si="16"/>
        <v>60.381000083479421</v>
      </c>
      <c r="I70" s="32">
        <f t="shared" si="17"/>
        <v>61.95350196176642</v>
      </c>
    </row>
    <row r="71" spans="3:10" ht="15" thickBot="1" x14ac:dyDescent="0.4">
      <c r="C71" s="17"/>
    </row>
    <row r="72" spans="3:10" ht="15" thickBot="1" x14ac:dyDescent="0.4">
      <c r="C72" s="17"/>
      <c r="D72" s="157" t="s">
        <v>144</v>
      </c>
      <c r="E72" s="178"/>
      <c r="F72" s="179">
        <f>I23*E72/$E$76</f>
        <v>0</v>
      </c>
      <c r="G72" s="186">
        <f t="shared" ref="G72" si="18">I55</f>
        <v>0</v>
      </c>
      <c r="H72" s="187" t="e">
        <f t="shared" ref="H72" si="19">E72*K55</f>
        <v>#DIV/0!</v>
      </c>
      <c r="I72" s="163" t="e">
        <f t="shared" si="17"/>
        <v>#DIV/0!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102</v>
      </c>
    </row>
    <row r="76" spans="3:10" x14ac:dyDescent="0.35">
      <c r="D76" s="99" t="s">
        <v>94</v>
      </c>
      <c r="E76" s="100">
        <f>(7.48*43560)/92</f>
        <v>3541.6173913043485</v>
      </c>
      <c r="F76" s="21" t="s">
        <v>71</v>
      </c>
    </row>
    <row r="77" spans="3:10" x14ac:dyDescent="0.35">
      <c r="D77" s="99" t="s">
        <v>94</v>
      </c>
      <c r="E77" s="100">
        <f>43560/(92*24*3600)</f>
        <v>5.4800724637681158E-3</v>
      </c>
      <c r="F77" s="21" t="s">
        <v>72</v>
      </c>
    </row>
  </sheetData>
  <sheetProtection algorithmName="SHA-512" hashValue="2WZpUrl7K2/nh1AMoHlOpsuVEkwO2jV1gz/75wH9vkJIzP2a3M4vQ6EjnlQw8fMDM9vnsYdAo+JgIAsu6JbUQQ==" saltValue="sJdsno2EZ4nFDyEZ0JeN3g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7030A0"/>
  </sheetPr>
  <dimension ref="A1:L77"/>
  <sheetViews>
    <sheetView topLeftCell="A59" zoomScaleNormal="100" zoomScaleSheetLayoutView="100" workbookViewId="0">
      <selection activeCell="F40" sqref="F40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6384" width="9.1796875" style="21"/>
  </cols>
  <sheetData>
    <row r="1" spans="1:12" x14ac:dyDescent="0.35">
      <c r="G1" s="134"/>
    </row>
    <row r="2" spans="1:12" x14ac:dyDescent="0.35">
      <c r="A2" s="133" t="s">
        <v>109</v>
      </c>
      <c r="G2" s="134"/>
    </row>
    <row r="3" spans="1:12" x14ac:dyDescent="0.35">
      <c r="A3" s="133" t="s">
        <v>107</v>
      </c>
      <c r="G3" s="134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ht="15.5" x14ac:dyDescent="0.35">
      <c r="A7" s="17"/>
      <c r="B7" s="17"/>
      <c r="C7" s="63" t="s">
        <v>60</v>
      </c>
      <c r="D7" s="17"/>
      <c r="E7" s="84">
        <v>370</v>
      </c>
      <c r="F7" s="17"/>
      <c r="G7" s="17"/>
      <c r="H7" s="17"/>
      <c r="I7" s="17"/>
      <c r="J7" s="17"/>
      <c r="K7" s="17"/>
      <c r="L7" s="17"/>
    </row>
    <row r="8" spans="1:1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</row>
    <row r="11" spans="1:12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</row>
    <row r="12" spans="1:12" ht="15" customHeight="1" x14ac:dyDescent="0.35">
      <c r="A12" s="61"/>
      <c r="B12" s="19"/>
      <c r="C12" s="17"/>
      <c r="D12" s="10" t="s">
        <v>133</v>
      </c>
      <c r="E12" s="53"/>
      <c r="F12" s="54"/>
      <c r="G12" s="29">
        <f>E12*F12</f>
        <v>0</v>
      </c>
      <c r="H12" s="57"/>
      <c r="I12" s="35">
        <f>G12*H12</f>
        <v>0</v>
      </c>
      <c r="K12" s="17"/>
      <c r="L12" s="17"/>
    </row>
    <row r="13" spans="1:12" ht="15" customHeight="1" x14ac:dyDescent="0.35">
      <c r="A13" s="61"/>
      <c r="B13" s="19"/>
      <c r="C13" s="17"/>
      <c r="D13" s="10" t="s">
        <v>134</v>
      </c>
      <c r="E13" s="53"/>
      <c r="F13" s="54"/>
      <c r="G13" s="29">
        <f t="shared" ref="G13:G23" si="0">E13*F13</f>
        <v>0</v>
      </c>
      <c r="H13" s="57"/>
      <c r="I13" s="35">
        <f t="shared" ref="I13:I23" si="1">G13*H13</f>
        <v>0</v>
      </c>
      <c r="K13" s="17"/>
      <c r="L13" s="17"/>
    </row>
    <row r="14" spans="1:12" x14ac:dyDescent="0.35">
      <c r="A14" s="62"/>
      <c r="B14" s="17"/>
      <c r="C14" s="17"/>
      <c r="D14" s="10" t="s">
        <v>135</v>
      </c>
      <c r="E14" s="53"/>
      <c r="F14" s="54"/>
      <c r="G14" s="29">
        <f t="shared" si="0"/>
        <v>0</v>
      </c>
      <c r="H14" s="57"/>
      <c r="I14" s="35">
        <f t="shared" si="1"/>
        <v>0</v>
      </c>
      <c r="K14" s="17"/>
      <c r="L14" s="17"/>
    </row>
    <row r="15" spans="1:12" x14ac:dyDescent="0.35">
      <c r="A15" s="62"/>
      <c r="B15" s="17"/>
      <c r="C15" s="17"/>
      <c r="D15" s="20" t="s">
        <v>136</v>
      </c>
      <c r="E15" s="53"/>
      <c r="F15" s="54"/>
      <c r="G15" s="29">
        <f t="shared" si="0"/>
        <v>0</v>
      </c>
      <c r="H15" s="57"/>
      <c r="I15" s="35">
        <f t="shared" si="1"/>
        <v>0</v>
      </c>
      <c r="K15" s="17"/>
      <c r="L15" s="17"/>
    </row>
    <row r="16" spans="1:12" ht="15" customHeight="1" x14ac:dyDescent="0.35">
      <c r="A16" s="62"/>
      <c r="B16" s="17"/>
      <c r="C16" s="17"/>
      <c r="D16" s="10" t="s">
        <v>137</v>
      </c>
      <c r="E16" s="53"/>
      <c r="F16" s="54"/>
      <c r="G16" s="29">
        <f t="shared" si="0"/>
        <v>0</v>
      </c>
      <c r="H16" s="57"/>
      <c r="I16" s="35">
        <f t="shared" si="1"/>
        <v>0</v>
      </c>
      <c r="K16" s="17"/>
      <c r="L16" s="17"/>
    </row>
    <row r="17" spans="1:12" ht="15" customHeight="1" x14ac:dyDescent="0.35">
      <c r="A17" s="62"/>
      <c r="B17" s="17"/>
      <c r="C17" s="17"/>
      <c r="D17" s="10" t="s">
        <v>138</v>
      </c>
      <c r="E17" s="53"/>
      <c r="F17" s="54"/>
      <c r="G17" s="29">
        <f t="shared" si="0"/>
        <v>0</v>
      </c>
      <c r="H17" s="57"/>
      <c r="I17" s="35">
        <f t="shared" si="1"/>
        <v>0</v>
      </c>
      <c r="K17" s="17"/>
      <c r="L17" s="17"/>
    </row>
    <row r="18" spans="1:12" x14ac:dyDescent="0.35">
      <c r="A18" s="62"/>
      <c r="B18" s="17"/>
      <c r="C18" s="17"/>
      <c r="D18" s="10" t="s">
        <v>139</v>
      </c>
      <c r="E18" s="53"/>
      <c r="F18" s="54"/>
      <c r="G18" s="29">
        <f t="shared" si="0"/>
        <v>0</v>
      </c>
      <c r="H18" s="57"/>
      <c r="I18" s="35">
        <f t="shared" si="1"/>
        <v>0</v>
      </c>
      <c r="K18" s="17"/>
      <c r="L18" s="17"/>
    </row>
    <row r="19" spans="1:12" x14ac:dyDescent="0.35">
      <c r="A19" s="62"/>
      <c r="B19" s="17"/>
      <c r="C19" s="17"/>
      <c r="D19" s="10" t="s">
        <v>140</v>
      </c>
      <c r="E19" s="53"/>
      <c r="F19" s="54"/>
      <c r="G19" s="29">
        <f t="shared" si="0"/>
        <v>0</v>
      </c>
      <c r="H19" s="57"/>
      <c r="I19" s="35">
        <f t="shared" si="1"/>
        <v>0</v>
      </c>
      <c r="K19" s="17"/>
      <c r="L19" s="17"/>
    </row>
    <row r="20" spans="1:12" x14ac:dyDescent="0.35">
      <c r="A20" s="62"/>
      <c r="B20" s="17"/>
      <c r="C20" s="17"/>
      <c r="D20" s="196" t="s">
        <v>141</v>
      </c>
      <c r="E20" s="205"/>
      <c r="F20" s="206"/>
      <c r="G20" s="29">
        <f t="shared" ref="G20" si="2">E20*F20</f>
        <v>0</v>
      </c>
      <c r="H20" s="57"/>
      <c r="I20" s="35">
        <f t="shared" ref="I20" si="3">G20*H20</f>
        <v>0</v>
      </c>
      <c r="K20" s="17"/>
      <c r="L20" s="17"/>
    </row>
    <row r="21" spans="1:12" ht="15.75" customHeight="1" thickBot="1" x14ac:dyDescent="0.4">
      <c r="A21" s="62"/>
      <c r="B21" s="17"/>
      <c r="C21" s="17"/>
      <c r="D21" s="11" t="s">
        <v>142</v>
      </c>
      <c r="E21" s="55"/>
      <c r="F21" s="56"/>
      <c r="G21" s="29">
        <f t="shared" si="0"/>
        <v>0</v>
      </c>
      <c r="H21" s="58"/>
      <c r="I21" s="36">
        <f t="shared" si="1"/>
        <v>0</v>
      </c>
      <c r="K21" s="17"/>
      <c r="L21" s="17"/>
    </row>
    <row r="22" spans="1:12" ht="15.75" customHeight="1" thickBot="1" x14ac:dyDescent="0.4">
      <c r="A22" s="62"/>
      <c r="B22" s="17"/>
      <c r="C22" s="17"/>
      <c r="D22"/>
      <c r="E22"/>
      <c r="F22"/>
      <c r="G22"/>
      <c r="H22"/>
      <c r="I22"/>
      <c r="K22" s="17"/>
      <c r="L22" s="17"/>
    </row>
    <row r="23" spans="1:12" ht="15" customHeight="1" thickBot="1" x14ac:dyDescent="0.4">
      <c r="A23" s="62"/>
      <c r="B23" s="17"/>
      <c r="C23" s="17"/>
      <c r="D23" s="157" t="s">
        <v>144</v>
      </c>
      <c r="E23" s="158">
        <v>62</v>
      </c>
      <c r="F23" s="239">
        <v>2.73</v>
      </c>
      <c r="G23" s="162">
        <f t="shared" si="0"/>
        <v>169.26</v>
      </c>
      <c r="H23" s="161">
        <v>0.1</v>
      </c>
      <c r="I23" s="181">
        <f t="shared" si="1"/>
        <v>16.925999999999998</v>
      </c>
      <c r="K23" s="17"/>
      <c r="L23" s="17"/>
    </row>
    <row r="24" spans="1:12" ht="15" customHeight="1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</row>
    <row r="25" spans="1:12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</row>
    <row r="27" spans="1:12" ht="58" x14ac:dyDescent="0.35">
      <c r="A27" s="61"/>
      <c r="B27" s="17"/>
      <c r="C27" s="17"/>
      <c r="D27" s="135" t="s">
        <v>105</v>
      </c>
      <c r="E27" s="12" t="s">
        <v>97</v>
      </c>
      <c r="F27" s="13" t="s">
        <v>16</v>
      </c>
      <c r="G27" s="13" t="s">
        <v>98</v>
      </c>
      <c r="H27" s="9" t="s">
        <v>99</v>
      </c>
      <c r="I27" s="17"/>
      <c r="J27" s="17"/>
    </row>
    <row r="28" spans="1:12" x14ac:dyDescent="0.35">
      <c r="A28" s="61"/>
      <c r="B28" s="17"/>
      <c r="C28" s="17"/>
      <c r="D28" s="10" t="s">
        <v>133</v>
      </c>
      <c r="E28" s="53"/>
      <c r="F28" s="57"/>
      <c r="G28" s="29" t="e">
        <f>E28/F28</f>
        <v>#DIV/0!</v>
      </c>
      <c r="H28" s="35" t="e">
        <f>G28/12</f>
        <v>#DIV/0!</v>
      </c>
      <c r="I28" s="17"/>
      <c r="J28" s="17"/>
    </row>
    <row r="29" spans="1:12" x14ac:dyDescent="0.35">
      <c r="A29" s="17"/>
      <c r="B29" s="17"/>
      <c r="C29" s="17"/>
      <c r="D29" s="10" t="s">
        <v>134</v>
      </c>
      <c r="E29" s="53"/>
      <c r="F29" s="57"/>
      <c r="G29" s="29" t="e">
        <f t="shared" ref="G29:G39" si="4">E29/F29</f>
        <v>#DIV/0!</v>
      </c>
      <c r="H29" s="35" t="e">
        <f t="shared" ref="H29:H39" si="5">G29/12</f>
        <v>#DIV/0!</v>
      </c>
      <c r="I29" s="17"/>
      <c r="J29" s="17"/>
    </row>
    <row r="30" spans="1:12" x14ac:dyDescent="0.35">
      <c r="A30" s="17"/>
      <c r="B30" s="17"/>
      <c r="C30" s="17"/>
      <c r="D30" s="10" t="s">
        <v>135</v>
      </c>
      <c r="E30" s="53"/>
      <c r="F30" s="57"/>
      <c r="G30" s="29" t="e">
        <f t="shared" si="4"/>
        <v>#DIV/0!</v>
      </c>
      <c r="H30" s="35" t="e">
        <f t="shared" si="5"/>
        <v>#DIV/0!</v>
      </c>
      <c r="I30" s="17"/>
      <c r="J30" s="17"/>
    </row>
    <row r="31" spans="1:12" x14ac:dyDescent="0.35">
      <c r="A31" s="17"/>
      <c r="B31" s="17"/>
      <c r="C31" s="17"/>
      <c r="D31" s="20" t="s">
        <v>136</v>
      </c>
      <c r="E31" s="53"/>
      <c r="F31" s="57"/>
      <c r="G31" s="29" t="e">
        <f t="shared" si="4"/>
        <v>#DIV/0!</v>
      </c>
      <c r="H31" s="35" t="e">
        <f t="shared" si="5"/>
        <v>#DIV/0!</v>
      </c>
      <c r="I31" s="17"/>
      <c r="J31" s="17"/>
    </row>
    <row r="32" spans="1:12" x14ac:dyDescent="0.35">
      <c r="A32" s="17"/>
      <c r="B32" s="17"/>
      <c r="C32" s="17"/>
      <c r="D32" s="10" t="s">
        <v>137</v>
      </c>
      <c r="E32" s="53"/>
      <c r="F32" s="57"/>
      <c r="G32" s="29" t="e">
        <f t="shared" si="4"/>
        <v>#DIV/0!</v>
      </c>
      <c r="H32" s="35" t="e">
        <f t="shared" si="5"/>
        <v>#DIV/0!</v>
      </c>
      <c r="I32" s="17"/>
      <c r="J32" s="17"/>
    </row>
    <row r="33" spans="1:12" x14ac:dyDescent="0.35">
      <c r="A33" s="17"/>
      <c r="B33" s="17"/>
      <c r="C33" s="17"/>
      <c r="D33" s="10" t="s">
        <v>138</v>
      </c>
      <c r="E33" s="53"/>
      <c r="F33" s="57"/>
      <c r="G33" s="29" t="e">
        <f t="shared" si="4"/>
        <v>#DIV/0!</v>
      </c>
      <c r="H33" s="35" t="e">
        <f t="shared" si="5"/>
        <v>#DIV/0!</v>
      </c>
      <c r="I33" s="17"/>
      <c r="J33" s="17"/>
    </row>
    <row r="34" spans="1:12" x14ac:dyDescent="0.35">
      <c r="A34" s="17"/>
      <c r="B34" s="17"/>
      <c r="C34" s="17"/>
      <c r="D34" s="10" t="s">
        <v>139</v>
      </c>
      <c r="E34" s="53"/>
      <c r="F34" s="57"/>
      <c r="G34" s="29" t="e">
        <f t="shared" si="4"/>
        <v>#DIV/0!</v>
      </c>
      <c r="H34" s="35" t="e">
        <f t="shared" si="5"/>
        <v>#DIV/0!</v>
      </c>
      <c r="I34" s="17"/>
      <c r="J34" s="17"/>
    </row>
    <row r="35" spans="1:12" x14ac:dyDescent="0.35">
      <c r="A35" s="17"/>
      <c r="B35" s="17"/>
      <c r="C35" s="17"/>
      <c r="D35" s="10" t="s">
        <v>140</v>
      </c>
      <c r="E35" s="53"/>
      <c r="F35" s="57"/>
      <c r="G35" s="29" t="e">
        <f t="shared" si="4"/>
        <v>#DIV/0!</v>
      </c>
      <c r="H35" s="35" t="e">
        <f t="shared" si="5"/>
        <v>#DIV/0!</v>
      </c>
      <c r="I35" s="17"/>
      <c r="J35" s="17"/>
      <c r="K35" s="101"/>
      <c r="L35" s="101"/>
    </row>
    <row r="36" spans="1:12" x14ac:dyDescent="0.35">
      <c r="A36" s="17"/>
      <c r="B36" s="17"/>
      <c r="C36" s="17"/>
      <c r="D36" s="196" t="s">
        <v>141</v>
      </c>
      <c r="E36" s="205"/>
      <c r="F36" s="207"/>
      <c r="G36" s="29" t="e">
        <f t="shared" ref="G36" si="6">E36/F36</f>
        <v>#DIV/0!</v>
      </c>
      <c r="H36" s="35" t="e">
        <f t="shared" ref="H36" si="7">G36/12</f>
        <v>#DIV/0!</v>
      </c>
      <c r="I36" s="17"/>
      <c r="J36" s="17"/>
      <c r="K36" s="101"/>
      <c r="L36" s="101"/>
    </row>
    <row r="37" spans="1:12" ht="15" thickBot="1" x14ac:dyDescent="0.4">
      <c r="A37" s="17"/>
      <c r="B37" s="17"/>
      <c r="C37" s="17"/>
      <c r="D37" s="11" t="s">
        <v>142</v>
      </c>
      <c r="E37" s="55"/>
      <c r="F37" s="58"/>
      <c r="G37" s="31" t="e">
        <f t="shared" si="4"/>
        <v>#DIV/0!</v>
      </c>
      <c r="H37" s="36" t="e">
        <f t="shared" si="5"/>
        <v>#DIV/0!</v>
      </c>
      <c r="I37" s="17"/>
      <c r="J37" s="17"/>
    </row>
    <row r="38" spans="1:12" ht="15" thickBot="1" x14ac:dyDescent="0.4">
      <c r="A38" s="17"/>
      <c r="B38" s="17"/>
      <c r="C38" s="17"/>
      <c r="D38"/>
      <c r="E38"/>
      <c r="F38"/>
      <c r="G38"/>
      <c r="H38"/>
      <c r="I38" s="17"/>
      <c r="J38" s="17"/>
    </row>
    <row r="39" spans="1:12" ht="15" thickBot="1" x14ac:dyDescent="0.4">
      <c r="A39" s="17"/>
      <c r="B39" s="17"/>
      <c r="C39" s="17"/>
      <c r="D39" s="157" t="s">
        <v>144</v>
      </c>
      <c r="E39" s="177">
        <v>12.19</v>
      </c>
      <c r="F39" s="161">
        <v>0.75</v>
      </c>
      <c r="G39" s="162">
        <f t="shared" si="4"/>
        <v>16.253333333333334</v>
      </c>
      <c r="H39" s="181">
        <f t="shared" si="5"/>
        <v>1.3544444444444446</v>
      </c>
      <c r="I39" s="17"/>
      <c r="J39" s="17"/>
    </row>
    <row r="40" spans="1:1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</row>
    <row r="42" spans="1:12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</row>
    <row r="43" spans="1:12" ht="43.5" x14ac:dyDescent="0.35">
      <c r="A43" s="17"/>
      <c r="B43" s="17"/>
      <c r="C43" s="17"/>
      <c r="D43" s="135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96</v>
      </c>
      <c r="L43" s="9" t="s">
        <v>69</v>
      </c>
    </row>
    <row r="44" spans="1:12" x14ac:dyDescent="0.35">
      <c r="A44" s="19"/>
      <c r="B44" s="17"/>
      <c r="C44" s="17"/>
      <c r="D44" s="10" t="s">
        <v>133</v>
      </c>
      <c r="E44" s="138">
        <f t="shared" ref="E44:E52" si="8">G12</f>
        <v>0</v>
      </c>
      <c r="F44" s="88">
        <f>$E$7-E44</f>
        <v>370</v>
      </c>
      <c r="G44" s="27">
        <f t="shared" ref="G44:G53" si="9">F44/$E$76</f>
        <v>0.10447204175935336</v>
      </c>
      <c r="H44" s="90" t="e">
        <f t="shared" ref="H44:H52" si="10">G44/H28</f>
        <v>#DIV/0!</v>
      </c>
      <c r="I44" s="92"/>
      <c r="J44" s="57"/>
      <c r="K44" s="95" t="e">
        <f t="shared" ref="K44:K52" si="11">I44*H28*J44</f>
        <v>#DIV/0!</v>
      </c>
      <c r="L44" s="35" t="e">
        <f t="shared" ref="L44:L53" si="12">K44*$E$76</f>
        <v>#DIV/0!</v>
      </c>
    </row>
    <row r="45" spans="1:12" x14ac:dyDescent="0.35">
      <c r="A45" s="61"/>
      <c r="B45" s="17"/>
      <c r="C45" s="17"/>
      <c r="D45" s="10" t="s">
        <v>134</v>
      </c>
      <c r="E45" s="138">
        <f t="shared" si="8"/>
        <v>0</v>
      </c>
      <c r="F45" s="88">
        <f t="shared" ref="F45:F55" si="13">$E$7-E45</f>
        <v>370</v>
      </c>
      <c r="G45" s="27">
        <f t="shared" si="9"/>
        <v>0.10447204175935336</v>
      </c>
      <c r="H45" s="90" t="e">
        <f t="shared" si="10"/>
        <v>#DIV/0!</v>
      </c>
      <c r="I45" s="92"/>
      <c r="J45" s="57"/>
      <c r="K45" s="95" t="e">
        <f t="shared" si="11"/>
        <v>#DIV/0!</v>
      </c>
      <c r="L45" s="35" t="e">
        <f t="shared" si="12"/>
        <v>#DIV/0!</v>
      </c>
    </row>
    <row r="46" spans="1:12" x14ac:dyDescent="0.35">
      <c r="A46" s="61"/>
      <c r="B46" s="17"/>
      <c r="C46" s="17"/>
      <c r="D46" s="10" t="s">
        <v>135</v>
      </c>
      <c r="E46" s="138">
        <f t="shared" si="8"/>
        <v>0</v>
      </c>
      <c r="F46" s="88">
        <f t="shared" si="13"/>
        <v>370</v>
      </c>
      <c r="G46" s="27">
        <f t="shared" si="9"/>
        <v>0.10447204175935336</v>
      </c>
      <c r="H46" s="90" t="e">
        <f t="shared" si="10"/>
        <v>#DIV/0!</v>
      </c>
      <c r="I46" s="92"/>
      <c r="J46" s="57"/>
      <c r="K46" s="95" t="e">
        <f t="shared" si="11"/>
        <v>#DIV/0!</v>
      </c>
      <c r="L46" s="35" t="e">
        <f t="shared" si="12"/>
        <v>#DIV/0!</v>
      </c>
    </row>
    <row r="47" spans="1:12" x14ac:dyDescent="0.35">
      <c r="A47" s="61"/>
      <c r="B47" s="17"/>
      <c r="C47" s="17"/>
      <c r="D47" s="20" t="s">
        <v>136</v>
      </c>
      <c r="E47" s="138">
        <f t="shared" si="8"/>
        <v>0</v>
      </c>
      <c r="F47" s="88">
        <f t="shared" si="13"/>
        <v>370</v>
      </c>
      <c r="G47" s="27">
        <f t="shared" si="9"/>
        <v>0.10447204175935336</v>
      </c>
      <c r="H47" s="90" t="e">
        <f t="shared" si="10"/>
        <v>#DIV/0!</v>
      </c>
      <c r="I47" s="92"/>
      <c r="J47" s="57"/>
      <c r="K47" s="95" t="e">
        <f t="shared" si="11"/>
        <v>#DIV/0!</v>
      </c>
      <c r="L47" s="35" t="e">
        <f t="shared" si="12"/>
        <v>#DIV/0!</v>
      </c>
    </row>
    <row r="48" spans="1:12" ht="15" customHeight="1" x14ac:dyDescent="0.35">
      <c r="A48" s="61"/>
      <c r="B48" s="17"/>
      <c r="C48" s="17"/>
      <c r="D48" s="10" t="s">
        <v>137</v>
      </c>
      <c r="E48" s="138">
        <f t="shared" si="8"/>
        <v>0</v>
      </c>
      <c r="F48" s="88">
        <f t="shared" si="13"/>
        <v>370</v>
      </c>
      <c r="G48" s="27">
        <f t="shared" si="9"/>
        <v>0.10447204175935336</v>
      </c>
      <c r="H48" s="90" t="e">
        <f t="shared" si="10"/>
        <v>#DIV/0!</v>
      </c>
      <c r="I48" s="92"/>
      <c r="J48" s="57"/>
      <c r="K48" s="95" t="e">
        <f t="shared" si="11"/>
        <v>#DIV/0!</v>
      </c>
      <c r="L48" s="35" t="e">
        <f t="shared" si="12"/>
        <v>#DIV/0!</v>
      </c>
    </row>
    <row r="49" spans="1:12" x14ac:dyDescent="0.35">
      <c r="A49" s="19"/>
      <c r="B49" s="17"/>
      <c r="C49" s="17"/>
      <c r="D49" s="10" t="s">
        <v>138</v>
      </c>
      <c r="E49" s="138">
        <f t="shared" si="8"/>
        <v>0</v>
      </c>
      <c r="F49" s="88">
        <f t="shared" si="13"/>
        <v>370</v>
      </c>
      <c r="G49" s="27">
        <f t="shared" si="9"/>
        <v>0.10447204175935336</v>
      </c>
      <c r="H49" s="90" t="e">
        <f t="shared" si="10"/>
        <v>#DIV/0!</v>
      </c>
      <c r="I49" s="92"/>
      <c r="J49" s="57"/>
      <c r="K49" s="95" t="e">
        <f t="shared" si="11"/>
        <v>#DIV/0!</v>
      </c>
      <c r="L49" s="35" t="e">
        <f t="shared" si="12"/>
        <v>#DIV/0!</v>
      </c>
    </row>
    <row r="50" spans="1:12" x14ac:dyDescent="0.35">
      <c r="A50" s="61"/>
      <c r="B50" s="17"/>
      <c r="C50" s="17"/>
      <c r="D50" s="10" t="s">
        <v>139</v>
      </c>
      <c r="E50" s="138">
        <f t="shared" si="8"/>
        <v>0</v>
      </c>
      <c r="F50" s="88">
        <f t="shared" si="13"/>
        <v>370</v>
      </c>
      <c r="G50" s="27">
        <f t="shared" si="9"/>
        <v>0.10447204175935336</v>
      </c>
      <c r="H50" s="90" t="e">
        <f t="shared" si="10"/>
        <v>#DIV/0!</v>
      </c>
      <c r="I50" s="92"/>
      <c r="J50" s="57"/>
      <c r="K50" s="95" t="e">
        <f t="shared" si="11"/>
        <v>#DIV/0!</v>
      </c>
      <c r="L50" s="35" t="e">
        <f t="shared" si="12"/>
        <v>#DIV/0!</v>
      </c>
    </row>
    <row r="51" spans="1:12" x14ac:dyDescent="0.35">
      <c r="A51" s="61"/>
      <c r="B51" s="17"/>
      <c r="C51" s="17"/>
      <c r="D51" s="10" t="s">
        <v>140</v>
      </c>
      <c r="E51" s="138">
        <f t="shared" si="8"/>
        <v>0</v>
      </c>
      <c r="F51" s="88">
        <f t="shared" si="13"/>
        <v>370</v>
      </c>
      <c r="G51" s="27">
        <f t="shared" si="9"/>
        <v>0.10447204175935336</v>
      </c>
      <c r="H51" s="90" t="e">
        <f t="shared" si="10"/>
        <v>#DIV/0!</v>
      </c>
      <c r="I51" s="92"/>
      <c r="J51" s="57"/>
      <c r="K51" s="95" t="e">
        <f t="shared" si="11"/>
        <v>#DIV/0!</v>
      </c>
      <c r="L51" s="35" t="e">
        <f t="shared" si="12"/>
        <v>#DIV/0!</v>
      </c>
    </row>
    <row r="52" spans="1:12" x14ac:dyDescent="0.35">
      <c r="A52" s="61"/>
      <c r="B52" s="17"/>
      <c r="C52" s="17"/>
      <c r="D52" s="196" t="s">
        <v>141</v>
      </c>
      <c r="E52" s="138">
        <f t="shared" si="8"/>
        <v>0</v>
      </c>
      <c r="F52" s="88">
        <f t="shared" ref="F52" si="14">$E$7-E52</f>
        <v>370</v>
      </c>
      <c r="G52" s="27">
        <f t="shared" si="9"/>
        <v>0.10447204175935336</v>
      </c>
      <c r="H52" s="90" t="e">
        <f t="shared" si="10"/>
        <v>#DIV/0!</v>
      </c>
      <c r="I52" s="92"/>
      <c r="J52" s="57"/>
      <c r="K52" s="95" t="e">
        <f t="shared" si="11"/>
        <v>#DIV/0!</v>
      </c>
      <c r="L52" s="35" t="e">
        <f t="shared" si="12"/>
        <v>#DIV/0!</v>
      </c>
    </row>
    <row r="53" spans="1:12" ht="15.75" customHeight="1" thickBot="1" x14ac:dyDescent="0.4">
      <c r="A53" s="61"/>
      <c r="B53" s="17"/>
      <c r="C53" s="17"/>
      <c r="D53" s="11" t="s">
        <v>142</v>
      </c>
      <c r="E53" s="139">
        <f t="shared" ref="E53" si="15">G21</f>
        <v>0</v>
      </c>
      <c r="F53" s="89">
        <f t="shared" si="13"/>
        <v>370</v>
      </c>
      <c r="G53" s="28">
        <f t="shared" si="9"/>
        <v>0.10447204175935336</v>
      </c>
      <c r="H53" s="91" t="e">
        <f t="shared" ref="H53" si="16">G53/H37</f>
        <v>#DIV/0!</v>
      </c>
      <c r="I53" s="93"/>
      <c r="J53" s="58"/>
      <c r="K53" s="96" t="e">
        <f t="shared" ref="K53" si="17">I53*H37*J53</f>
        <v>#DIV/0!</v>
      </c>
      <c r="L53" s="36" t="e">
        <f t="shared" si="12"/>
        <v>#DIV/0!</v>
      </c>
    </row>
    <row r="54" spans="1:12" ht="15.75" customHeight="1" thickBot="1" x14ac:dyDescent="0.4">
      <c r="A54" s="61"/>
      <c r="B54" s="17"/>
      <c r="C54" s="17"/>
      <c r="D54"/>
      <c r="E54"/>
      <c r="F54"/>
      <c r="G54"/>
      <c r="H54"/>
      <c r="I54"/>
      <c r="J54"/>
      <c r="K54"/>
      <c r="L54"/>
    </row>
    <row r="55" spans="1:12" ht="15" thickBot="1" x14ac:dyDescent="0.4">
      <c r="A55" s="61"/>
      <c r="B55" s="17"/>
      <c r="C55" s="17"/>
      <c r="D55" s="157" t="s">
        <v>144</v>
      </c>
      <c r="E55" s="182">
        <f t="shared" ref="E55" si="18">G23</f>
        <v>169.26</v>
      </c>
      <c r="F55" s="183">
        <f t="shared" si="13"/>
        <v>200.74</v>
      </c>
      <c r="G55" s="160">
        <f>F55/$E$76</f>
        <v>5.6680318007493499E-2</v>
      </c>
      <c r="H55" s="188">
        <f t="shared" ref="H55" si="19">G55/H39</f>
        <v>4.1847650702825388E-2</v>
      </c>
      <c r="I55" s="189">
        <f>H55</f>
        <v>4.1847650702825388E-2</v>
      </c>
      <c r="J55" s="161">
        <v>0.8</v>
      </c>
      <c r="K55" s="185">
        <f t="shared" ref="K55" si="20">I55*H39*J55</f>
        <v>4.5344254405994808E-2</v>
      </c>
      <c r="L55" s="181">
        <f>K55*$E$76</f>
        <v>160.59200000000004</v>
      </c>
    </row>
    <row r="56" spans="1:12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.5" x14ac:dyDescent="0.35">
      <c r="C57" s="63" t="s">
        <v>100</v>
      </c>
      <c r="D57" s="17"/>
      <c r="E57" s="17"/>
      <c r="F57" s="17"/>
      <c r="G57" s="17"/>
      <c r="H57" s="17"/>
      <c r="I57" s="17"/>
      <c r="J57" s="17"/>
      <c r="K57" s="17"/>
    </row>
    <row r="58" spans="1:12" ht="15" customHeight="1" x14ac:dyDescent="0.35">
      <c r="C58" s="17"/>
      <c r="D58" s="17"/>
      <c r="E58" s="17"/>
    </row>
    <row r="59" spans="1:12" ht="15" thickBot="1" x14ac:dyDescent="0.4">
      <c r="C59" s="17"/>
      <c r="D59" s="17"/>
      <c r="E59" s="64"/>
    </row>
    <row r="60" spans="1:12" ht="58" x14ac:dyDescent="0.35">
      <c r="C60" s="17"/>
      <c r="D60" s="23" t="s">
        <v>105</v>
      </c>
      <c r="E60" s="26" t="s">
        <v>18</v>
      </c>
      <c r="F60" s="137" t="s">
        <v>91</v>
      </c>
      <c r="G60" s="13" t="s">
        <v>49</v>
      </c>
      <c r="H60" s="13" t="s">
        <v>106</v>
      </c>
      <c r="I60" s="9" t="s">
        <v>92</v>
      </c>
    </row>
    <row r="61" spans="1:12" x14ac:dyDescent="0.35">
      <c r="C61" s="17"/>
      <c r="D61" s="24" t="s">
        <v>133</v>
      </c>
      <c r="E61" s="59"/>
      <c r="F61" s="33">
        <f t="shared" ref="F61:F70" si="21">I12*E61/$E$76</f>
        <v>0</v>
      </c>
      <c r="G61" s="120">
        <f t="shared" ref="G61:G69" si="22">I44</f>
        <v>0</v>
      </c>
      <c r="H61" s="123" t="e">
        <f t="shared" ref="H61:H69" si="23">E61*K44</f>
        <v>#DIV/0!</v>
      </c>
      <c r="I61" s="30" t="e">
        <f>F61+H61</f>
        <v>#DIV/0!</v>
      </c>
    </row>
    <row r="62" spans="1:12" x14ac:dyDescent="0.35">
      <c r="C62" s="17"/>
      <c r="D62" s="24" t="s">
        <v>134</v>
      </c>
      <c r="E62" s="59"/>
      <c r="F62" s="33">
        <f t="shared" si="21"/>
        <v>0</v>
      </c>
      <c r="G62" s="120">
        <f t="shared" si="22"/>
        <v>0</v>
      </c>
      <c r="H62" s="123" t="e">
        <f t="shared" si="23"/>
        <v>#DIV/0!</v>
      </c>
      <c r="I62" s="30" t="e">
        <f t="shared" ref="I62:I72" si="24">F62+H62</f>
        <v>#DIV/0!</v>
      </c>
    </row>
    <row r="63" spans="1:12" x14ac:dyDescent="0.35">
      <c r="C63" s="17"/>
      <c r="D63" s="24" t="s">
        <v>135</v>
      </c>
      <c r="E63" s="59"/>
      <c r="F63" s="33">
        <f t="shared" si="21"/>
        <v>0</v>
      </c>
      <c r="G63" s="120">
        <f t="shared" si="22"/>
        <v>0</v>
      </c>
      <c r="H63" s="123" t="e">
        <f t="shared" si="23"/>
        <v>#DIV/0!</v>
      </c>
      <c r="I63" s="30" t="e">
        <f t="shared" si="24"/>
        <v>#DIV/0!</v>
      </c>
    </row>
    <row r="64" spans="1:12" x14ac:dyDescent="0.35">
      <c r="C64" s="17"/>
      <c r="D64" s="24" t="s">
        <v>136</v>
      </c>
      <c r="E64" s="59"/>
      <c r="F64" s="33">
        <f t="shared" si="21"/>
        <v>0</v>
      </c>
      <c r="G64" s="120">
        <f t="shared" si="22"/>
        <v>0</v>
      </c>
      <c r="H64" s="123" t="e">
        <f t="shared" si="23"/>
        <v>#DIV/0!</v>
      </c>
      <c r="I64" s="30" t="e">
        <f t="shared" si="24"/>
        <v>#DIV/0!</v>
      </c>
    </row>
    <row r="65" spans="3:10" x14ac:dyDescent="0.35">
      <c r="C65" s="17"/>
      <c r="D65" s="24" t="s">
        <v>137</v>
      </c>
      <c r="E65" s="59"/>
      <c r="F65" s="33">
        <f t="shared" si="21"/>
        <v>0</v>
      </c>
      <c r="G65" s="120">
        <f t="shared" si="22"/>
        <v>0</v>
      </c>
      <c r="H65" s="123" t="e">
        <f t="shared" si="23"/>
        <v>#DIV/0!</v>
      </c>
      <c r="I65" s="30" t="e">
        <f t="shared" si="24"/>
        <v>#DIV/0!</v>
      </c>
    </row>
    <row r="66" spans="3:10" x14ac:dyDescent="0.35">
      <c r="C66" s="17"/>
      <c r="D66" s="24" t="s">
        <v>138</v>
      </c>
      <c r="E66" s="59"/>
      <c r="F66" s="33">
        <f t="shared" si="21"/>
        <v>0</v>
      </c>
      <c r="G66" s="120">
        <f t="shared" si="22"/>
        <v>0</v>
      </c>
      <c r="H66" s="123" t="e">
        <f t="shared" si="23"/>
        <v>#DIV/0!</v>
      </c>
      <c r="I66" s="30" t="e">
        <f t="shared" si="24"/>
        <v>#DIV/0!</v>
      </c>
    </row>
    <row r="67" spans="3:10" x14ac:dyDescent="0.35">
      <c r="C67" s="17"/>
      <c r="D67" s="24" t="s">
        <v>139</v>
      </c>
      <c r="E67" s="59"/>
      <c r="F67" s="33">
        <f t="shared" si="21"/>
        <v>0</v>
      </c>
      <c r="G67" s="120">
        <f t="shared" si="22"/>
        <v>0</v>
      </c>
      <c r="H67" s="123" t="e">
        <f t="shared" si="23"/>
        <v>#DIV/0!</v>
      </c>
      <c r="I67" s="30" t="e">
        <f t="shared" si="24"/>
        <v>#DIV/0!</v>
      </c>
    </row>
    <row r="68" spans="3:10" x14ac:dyDescent="0.35">
      <c r="C68" s="17"/>
      <c r="D68" s="24" t="s">
        <v>140</v>
      </c>
      <c r="E68" s="59"/>
      <c r="F68" s="33">
        <f t="shared" si="21"/>
        <v>0</v>
      </c>
      <c r="G68" s="120">
        <f t="shared" si="22"/>
        <v>0</v>
      </c>
      <c r="H68" s="123" t="e">
        <f t="shared" si="23"/>
        <v>#DIV/0!</v>
      </c>
      <c r="I68" s="30" t="e">
        <f t="shared" si="24"/>
        <v>#DIV/0!</v>
      </c>
    </row>
    <row r="69" spans="3:10" x14ac:dyDescent="0.35">
      <c r="C69" s="17"/>
      <c r="D69" s="208" t="s">
        <v>141</v>
      </c>
      <c r="E69" s="209"/>
      <c r="F69" s="33">
        <f t="shared" si="21"/>
        <v>0</v>
      </c>
      <c r="G69" s="120">
        <f t="shared" si="22"/>
        <v>0</v>
      </c>
      <c r="H69" s="123" t="e">
        <f t="shared" si="23"/>
        <v>#DIV/0!</v>
      </c>
      <c r="I69" s="30" t="e">
        <f t="shared" ref="I69" si="25">F69+H69</f>
        <v>#DIV/0!</v>
      </c>
    </row>
    <row r="70" spans="3:10" ht="15" thickBot="1" x14ac:dyDescent="0.4">
      <c r="C70" s="17"/>
      <c r="D70" s="25" t="s">
        <v>142</v>
      </c>
      <c r="E70" s="60"/>
      <c r="F70" s="119">
        <f t="shared" si="21"/>
        <v>0</v>
      </c>
      <c r="G70" s="121">
        <f t="shared" ref="G70" si="26">I53</f>
        <v>0</v>
      </c>
      <c r="H70" s="124" t="e">
        <f t="shared" ref="H70" si="27">E70*K53</f>
        <v>#DIV/0!</v>
      </c>
      <c r="I70" s="32" t="e">
        <f t="shared" si="24"/>
        <v>#DIV/0!</v>
      </c>
    </row>
    <row r="71" spans="3:10" ht="15" thickBot="1" x14ac:dyDescent="0.4">
      <c r="C71" s="17"/>
      <c r="D71"/>
      <c r="E71"/>
      <c r="F71"/>
      <c r="G71"/>
      <c r="H71"/>
      <c r="I71"/>
    </row>
    <row r="72" spans="3:10" ht="15" thickBot="1" x14ac:dyDescent="0.4">
      <c r="C72" s="17"/>
      <c r="D72" s="170" t="s">
        <v>144</v>
      </c>
      <c r="E72" s="178">
        <v>967</v>
      </c>
      <c r="F72" s="179">
        <f>I23*E72/$E$76</f>
        <v>4.6214596868048483</v>
      </c>
      <c r="G72" s="186">
        <f t="shared" ref="G72" si="28">I55</f>
        <v>4.1847650702825388E-2</v>
      </c>
      <c r="H72" s="187">
        <f t="shared" ref="H72" si="29">E72*K55</f>
        <v>43.847894010596981</v>
      </c>
      <c r="I72" s="163">
        <f t="shared" si="24"/>
        <v>48.469353697401829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102</v>
      </c>
    </row>
    <row r="76" spans="3:10" x14ac:dyDescent="0.35">
      <c r="D76" s="99" t="s">
        <v>94</v>
      </c>
      <c r="E76" s="100">
        <f>(7.48*43560)/92</f>
        <v>3541.6173913043485</v>
      </c>
      <c r="F76" s="21" t="s">
        <v>71</v>
      </c>
    </row>
    <row r="77" spans="3:10" x14ac:dyDescent="0.35">
      <c r="D77" s="99" t="s">
        <v>94</v>
      </c>
      <c r="E77" s="100">
        <f>43560/(92*24*3600)</f>
        <v>5.4800724637681158E-3</v>
      </c>
      <c r="F77" s="21" t="s">
        <v>72</v>
      </c>
    </row>
  </sheetData>
  <sheetProtection algorithmName="SHA-512" hashValue="SG0xdeHg+JBN+YCYYt/6POiCosQKhY+fAGJPtfGh0EiZyL/IfJHwA9AVCOn73eBTQz+8ykw3fbAMRRCkdMxiIA==" saltValue="bXVYUuN6pg76BsmSeloGAw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X84"/>
  <sheetViews>
    <sheetView zoomScaleNormal="100" workbookViewId="0">
      <selection activeCell="L23" sqref="L23"/>
    </sheetView>
  </sheetViews>
  <sheetFormatPr defaultColWidth="9.1796875" defaultRowHeight="14.5" x14ac:dyDescent="0.35"/>
  <cols>
    <col min="1" max="1" width="10.7265625" style="21" customWidth="1"/>
    <col min="2" max="2" width="24.453125" style="21" bestFit="1" customWidth="1"/>
    <col min="3" max="3" width="13.54296875" style="21" bestFit="1" customWidth="1"/>
    <col min="4" max="9" width="14.7265625" style="21" customWidth="1"/>
    <col min="10" max="10" width="9.1796875" style="21"/>
    <col min="11" max="11" width="15.7265625" style="21" customWidth="1"/>
    <col min="12" max="12" width="32.7265625" style="21" bestFit="1" customWidth="1"/>
    <col min="13" max="24" width="7.7265625" style="21" customWidth="1"/>
    <col min="25" max="16384" width="9.1796875" style="21"/>
  </cols>
  <sheetData>
    <row r="1" spans="1:24" x14ac:dyDescent="0.35">
      <c r="A1" s="133" t="s">
        <v>125</v>
      </c>
    </row>
    <row r="2" spans="1:24" x14ac:dyDescent="0.35">
      <c r="A2" s="133" t="s">
        <v>147</v>
      </c>
    </row>
    <row r="4" spans="1:24" ht="16" thickBot="1" x14ac:dyDescent="0.4">
      <c r="A4" s="2" t="s">
        <v>123</v>
      </c>
      <c r="K4" s="2" t="s">
        <v>101</v>
      </c>
    </row>
    <row r="5" spans="1:24" ht="15" customHeight="1" thickBot="1" x14ac:dyDescent="0.4">
      <c r="D5" s="263" t="s">
        <v>83</v>
      </c>
      <c r="E5" s="264"/>
      <c r="F5" s="264"/>
      <c r="G5" s="265"/>
      <c r="H5" s="103"/>
      <c r="I5" s="103"/>
      <c r="J5" s="103"/>
      <c r="K5" s="103"/>
      <c r="L5" s="103"/>
      <c r="M5" s="103"/>
      <c r="N5" s="103"/>
      <c r="O5" s="103"/>
    </row>
    <row r="6" spans="1:24" ht="95.5" x14ac:dyDescent="0.35">
      <c r="B6" s="23" t="s">
        <v>105</v>
      </c>
      <c r="C6" s="26" t="s">
        <v>117</v>
      </c>
      <c r="D6" s="137" t="s">
        <v>27</v>
      </c>
      <c r="E6" s="13" t="s">
        <v>49</v>
      </c>
      <c r="F6" s="13" t="s">
        <v>81</v>
      </c>
      <c r="G6" s="9" t="s">
        <v>17</v>
      </c>
      <c r="H6" s="104"/>
      <c r="I6" s="104"/>
      <c r="K6" s="103"/>
      <c r="L6" s="105"/>
      <c r="M6" s="70" t="s">
        <v>133</v>
      </c>
      <c r="N6" s="70" t="s">
        <v>134</v>
      </c>
      <c r="O6" s="70" t="s">
        <v>135</v>
      </c>
      <c r="P6" s="70" t="s">
        <v>136</v>
      </c>
      <c r="Q6" s="70" t="s">
        <v>137</v>
      </c>
      <c r="R6" s="70" t="s">
        <v>138</v>
      </c>
      <c r="S6" s="70" t="s">
        <v>139</v>
      </c>
      <c r="T6" s="70" t="s">
        <v>140</v>
      </c>
      <c r="U6" s="70" t="s">
        <v>141</v>
      </c>
      <c r="V6" s="70" t="s">
        <v>142</v>
      </c>
      <c r="W6" s="70" t="s">
        <v>145</v>
      </c>
      <c r="X6" s="70" t="s">
        <v>121</v>
      </c>
    </row>
    <row r="7" spans="1:24" ht="15" thickBot="1" x14ac:dyDescent="0.4">
      <c r="B7" s="24" t="s">
        <v>133</v>
      </c>
      <c r="C7" s="114">
        <f>'CALC Variable Supply-Year'!E44</f>
        <v>2</v>
      </c>
      <c r="D7" s="233">
        <f>'CALC Variable Supply-Year'!F44</f>
        <v>3.6967266245341107E-2</v>
      </c>
      <c r="E7" s="115">
        <f>'CALC Variable Supply-Year'!G44</f>
        <v>0.28000000000000003</v>
      </c>
      <c r="F7" s="235">
        <f>'CALC Variable Supply-Year'!H44</f>
        <v>0.74915555555555569</v>
      </c>
      <c r="G7" s="132">
        <f>'CALC Variable Supply-Year'!I44</f>
        <v>0.78612282180089676</v>
      </c>
      <c r="H7" s="106"/>
      <c r="K7" s="107"/>
      <c r="L7" s="41" t="s">
        <v>120</v>
      </c>
      <c r="M7" s="42">
        <v>2</v>
      </c>
      <c r="N7" s="42">
        <v>5</v>
      </c>
      <c r="O7" s="42">
        <v>118</v>
      </c>
      <c r="P7" s="42">
        <v>8</v>
      </c>
      <c r="Q7" s="42">
        <v>234</v>
      </c>
      <c r="R7" s="42">
        <v>4</v>
      </c>
      <c r="S7" s="42">
        <v>15</v>
      </c>
      <c r="T7" s="42">
        <v>6</v>
      </c>
      <c r="U7" s="77">
        <v>235</v>
      </c>
      <c r="V7" s="77">
        <v>340</v>
      </c>
      <c r="W7" s="78">
        <v>967</v>
      </c>
      <c r="X7" s="78">
        <v>967</v>
      </c>
    </row>
    <row r="8" spans="1:24" ht="15" customHeight="1" x14ac:dyDescent="0.35">
      <c r="B8" s="24" t="s">
        <v>134</v>
      </c>
      <c r="C8" s="114">
        <f>'CALC Variable Supply-Year'!E45</f>
        <v>5</v>
      </c>
      <c r="D8" s="233">
        <f>'CALC Variable Supply-Year'!F45</f>
        <v>9.2418165613352768E-2</v>
      </c>
      <c r="E8" s="115">
        <f>'CALC Variable Supply-Year'!G45</f>
        <v>0.28000000000000003</v>
      </c>
      <c r="F8" s="235">
        <f>'CALC Variable Supply-Year'!H45</f>
        <v>1.7621333333333333</v>
      </c>
      <c r="G8" s="132">
        <f>'CALC Variable Supply-Year'!I45</f>
        <v>1.854551498946686</v>
      </c>
      <c r="H8" s="106"/>
      <c r="K8" s="269" t="s">
        <v>17</v>
      </c>
      <c r="L8" s="43" t="str">
        <f>D22</f>
        <v>1 home + subbasin average yard</v>
      </c>
      <c r="M8" s="71">
        <f>IF(ISNUMBER(G24),G24,"")</f>
        <v>0.78612282180089676</v>
      </c>
      <c r="N8" s="71">
        <f>IF(ISNUMBER(G25),G25,"")</f>
        <v>1.854551498946686</v>
      </c>
      <c r="O8" s="71">
        <f>IF(ISNUMBER(G26),G26,"")</f>
        <v>42.563290930697349</v>
      </c>
      <c r="P8" s="71">
        <f>IF(ISNUMBER(G27),G27,"")</f>
        <v>3.274829209155238</v>
      </c>
      <c r="Q8" s="71">
        <f>IF(ISNUMBER(G28),G28,"")</f>
        <v>97.351251238785522</v>
      </c>
      <c r="R8" s="71">
        <f>IF(ISNUMBER(G29),G29,"")</f>
        <v>1.7628546045776188</v>
      </c>
      <c r="S8" s="71">
        <f>IF(ISNUMBER(G30),G30,"")</f>
        <v>7.4472381004994039</v>
      </c>
      <c r="T8" s="71">
        <f>IF(ISNUMBER(G31),G31,"")</f>
        <v>2.6777219068664282</v>
      </c>
      <c r="U8" s="210">
        <f>IF(ISNUMBER(G32),G32,"")</f>
        <v>118.854196907824</v>
      </c>
      <c r="V8" s="72">
        <f>IF(ISNUMBER(G33),G33,"")</f>
        <v>162.12193027798645</v>
      </c>
      <c r="W8" s="72">
        <f t="shared" ref="W8:W11" si="0">IF(SUM(M8:V8)&gt;0,SUM(M8:V8),"")</f>
        <v>438.69398749713957</v>
      </c>
      <c r="X8" s="72" t="str">
        <f>IF(ISNUMBER(G36),G36,"")</f>
        <v/>
      </c>
    </row>
    <row r="9" spans="1:24" x14ac:dyDescent="0.35">
      <c r="B9" s="24" t="s">
        <v>135</v>
      </c>
      <c r="C9" s="114">
        <f>'CALC Variable Supply-Year'!E46</f>
        <v>118</v>
      </c>
      <c r="D9" s="233">
        <f>'CALC Variable Supply-Year'!F46</f>
        <v>2.1810687084751255</v>
      </c>
      <c r="E9" s="115">
        <f>'CALC Variable Supply-Year'!G46</f>
        <v>0.28000000000000003</v>
      </c>
      <c r="F9" s="235">
        <f>'CALC Variable Supply-Year'!H46</f>
        <v>40.382222222222225</v>
      </c>
      <c r="G9" s="132">
        <f>'CALC Variable Supply-Year'!I46</f>
        <v>42.563290930697349</v>
      </c>
      <c r="H9" s="106"/>
      <c r="K9" s="270"/>
      <c r="L9" s="3" t="str">
        <f>D38</f>
        <v>1 home + 1/2 acre yard</v>
      </c>
      <c r="M9" s="73">
        <f>IF(ISNUMBER(G40),G40,"")</f>
        <v>1.374745044023119</v>
      </c>
      <c r="N9" s="73">
        <f>IF(ISNUMBER(G41),G41,"")</f>
        <v>3.2390848322800192</v>
      </c>
      <c r="O9" s="73">
        <f>IF(ISNUMBER(G42),G42,"")</f>
        <v>74.292179819586224</v>
      </c>
      <c r="P9" s="73">
        <f>IF(ISNUMBER(G43),G43,"")</f>
        <v>5.7325714313774601</v>
      </c>
      <c r="Q9" s="73">
        <f>IF(ISNUMBER(G44),G44,"")</f>
        <v>154.37861123878554</v>
      </c>
      <c r="R9" s="73">
        <f>IF(ISNUMBER(G45),G45,"")</f>
        <v>3.0902857156887298</v>
      </c>
      <c r="S9" s="73">
        <f>IF(ISNUMBER(G46),G46,"")</f>
        <v>11.141904767166071</v>
      </c>
      <c r="T9" s="73">
        <f>IF(ISNUMBER(G47),G47,"")</f>
        <v>4.2514285735330954</v>
      </c>
      <c r="U9" s="211">
        <f>IF(ISNUMBER(G48),G48,"")</f>
        <v>159.09873024115734</v>
      </c>
      <c r="V9" s="74">
        <f>IF(ISNUMBER(G49),G49,"")</f>
        <v>242.42539694465313</v>
      </c>
      <c r="W9" s="74">
        <f t="shared" si="0"/>
        <v>659.02493860825075</v>
      </c>
      <c r="X9" s="74" t="str">
        <f>IF(ISNUMBER(G52),G52,"")</f>
        <v/>
      </c>
    </row>
    <row r="10" spans="1:24" x14ac:dyDescent="0.35">
      <c r="B10" s="24" t="s">
        <v>136</v>
      </c>
      <c r="C10" s="114">
        <f>'CALC Variable Supply-Year'!E47</f>
        <v>8</v>
      </c>
      <c r="D10" s="233">
        <f>'CALC Variable Supply-Year'!F47</f>
        <v>0.1467936535996818</v>
      </c>
      <c r="E10" s="115">
        <f>'CALC Variable Supply-Year'!G47</f>
        <v>0.28000000000000003</v>
      </c>
      <c r="F10" s="235">
        <f>'CALC Variable Supply-Year'!H47</f>
        <v>3.1280355555555563</v>
      </c>
      <c r="G10" s="132">
        <f>'CALC Variable Supply-Year'!I47</f>
        <v>3.274829209155238</v>
      </c>
      <c r="H10" s="106"/>
      <c r="K10" s="270"/>
      <c r="L10" s="3" t="str">
        <f>D54</f>
        <v>950 gpd</v>
      </c>
      <c r="M10" s="73">
        <f>IF(ISNUMBER(G56),G56,"")</f>
        <v>1.4439638239468087</v>
      </c>
      <c r="N10" s="73">
        <f>IF(ISNUMBER(G57),G57,"")</f>
        <v>3.6099095598670217</v>
      </c>
      <c r="O10" s="73">
        <f>IF(ISNUMBER(G58),G58,"")</f>
        <v>85.193865612861728</v>
      </c>
      <c r="P10" s="73">
        <f>IF(ISNUMBER(G59),G59,"")</f>
        <v>5.7833831754590133</v>
      </c>
      <c r="Q10" s="73">
        <f>IF(ISNUMBER(G60),G60,"")</f>
        <v>169.07367978521233</v>
      </c>
      <c r="R10" s="73">
        <f>IF(ISNUMBER(G61),G61,"")</f>
        <v>2.8916915877295066</v>
      </c>
      <c r="S10" s="73">
        <f>IF(ISNUMBER(G62),G62,"")</f>
        <v>10.843843453985651</v>
      </c>
      <c r="T10" s="73">
        <f>IF(ISNUMBER(G63),G63,"")</f>
        <v>4.3375373815942604</v>
      </c>
      <c r="U10" s="211">
        <f>IF(ISNUMBER(G64),G64,"")</f>
        <v>169.88688077910851</v>
      </c>
      <c r="V10" s="74">
        <f>IF(ISNUMBER(G65),G65,"")</f>
        <v>245.79378495700806</v>
      </c>
      <c r="W10" s="74">
        <f t="shared" si="0"/>
        <v>698.85854011677282</v>
      </c>
      <c r="X10" s="74" t="str">
        <f>IF(ISNUMBER(G68),G68,"")</f>
        <v/>
      </c>
    </row>
    <row r="11" spans="1:24" x14ac:dyDescent="0.35">
      <c r="B11" s="24" t="s">
        <v>137</v>
      </c>
      <c r="C11" s="114">
        <f>'CALC Variable Supply-Year'!E48</f>
        <v>234</v>
      </c>
      <c r="D11" s="233">
        <f>'CALC Variable Supply-Year'!F48</f>
        <v>4.3066112387855213</v>
      </c>
      <c r="E11" s="115">
        <f>'CALC Variable Supply-Year'!G48</f>
        <v>0.31</v>
      </c>
      <c r="F11" s="235">
        <f>'CALC Variable Supply-Year'!H48</f>
        <v>93.044640000000001</v>
      </c>
      <c r="G11" s="132">
        <f>'CALC Variable Supply-Year'!I48</f>
        <v>97.351251238785522</v>
      </c>
      <c r="H11" s="106"/>
      <c r="J11" s="1"/>
      <c r="K11" s="270"/>
      <c r="L11" s="140" t="str">
        <f>D70</f>
        <v>Snohomish PUD Use (235 gpd)</v>
      </c>
      <c r="M11" s="144" t="str">
        <f>IF(ISNUMBER(G72),G72,"")</f>
        <v/>
      </c>
      <c r="N11" s="144" t="str">
        <f>IF(ISNUMBER(G73),G73,"")</f>
        <v/>
      </c>
      <c r="O11" s="144" t="str">
        <f>IF(ISNUMBER(G74),G74,"")</f>
        <v/>
      </c>
      <c r="P11" s="144" t="str">
        <f>IF(ISNUMBER(G75),G75,"")</f>
        <v/>
      </c>
      <c r="Q11" s="144" t="str">
        <f>IF(ISNUMBER(G76),G76,"")</f>
        <v/>
      </c>
      <c r="R11" s="144" t="str">
        <f>IF(ISNUMBER(G77),G77,"")</f>
        <v/>
      </c>
      <c r="S11" s="144" t="str">
        <f>IF(ISNUMBER(G78),G78,"")</f>
        <v/>
      </c>
      <c r="T11" s="144" t="str">
        <f>IF(ISNUMBER(G79),G79,"")</f>
        <v/>
      </c>
      <c r="U11" s="212" t="str">
        <f>IF(ISNUMBER(G80),G80,"")</f>
        <v/>
      </c>
      <c r="V11" s="145" t="str">
        <f>IF(ISNUMBER(G81),G81,"")</f>
        <v/>
      </c>
      <c r="W11" s="145" t="str">
        <f t="shared" si="0"/>
        <v/>
      </c>
      <c r="X11" s="145">
        <f>IF(ISNUMBER(G84),G84,"")</f>
        <v>75.305576701629803</v>
      </c>
    </row>
    <row r="12" spans="1:24" ht="15" customHeight="1" thickBot="1" x14ac:dyDescent="0.4">
      <c r="B12" s="24" t="s">
        <v>138</v>
      </c>
      <c r="C12" s="114">
        <f>'CALC Variable Supply-Year'!E49</f>
        <v>4</v>
      </c>
      <c r="D12" s="233">
        <f>'CALC Variable Supply-Year'!F49</f>
        <v>7.33968267998409E-2</v>
      </c>
      <c r="E12" s="115">
        <f>'CALC Variable Supply-Year'!G49</f>
        <v>0.28000000000000003</v>
      </c>
      <c r="F12" s="235">
        <f>'CALC Variable Supply-Year'!H49</f>
        <v>1.6894577777777779</v>
      </c>
      <c r="G12" s="132">
        <f>'CALC Variable Supply-Year'!I49</f>
        <v>1.7628546045776188</v>
      </c>
      <c r="H12" s="106"/>
      <c r="K12" s="271"/>
      <c r="L12" s="44" t="str">
        <f>D5</f>
        <v>Active Scenario - Variable Supply</v>
      </c>
      <c r="M12" s="75">
        <f>IF(ISNUMBER(G7),G7,"")</f>
        <v>0.78612282180089676</v>
      </c>
      <c r="N12" s="75">
        <f>IF(ISNUMBER(G8),G8,"")</f>
        <v>1.854551498946686</v>
      </c>
      <c r="O12" s="75">
        <f>IF(ISNUMBER(G9),G9,"")</f>
        <v>42.563290930697349</v>
      </c>
      <c r="P12" s="75">
        <f>IF(ISNUMBER(G10),G10,"")</f>
        <v>3.274829209155238</v>
      </c>
      <c r="Q12" s="75">
        <f>IF(ISNUMBER(G11),G11,"")</f>
        <v>97.351251238785522</v>
      </c>
      <c r="R12" s="75">
        <f>IF(ISNUMBER(G12),G12,"")</f>
        <v>1.7628546045776188</v>
      </c>
      <c r="S12" s="75">
        <f>IF(ISNUMBER(G13),G13,"")</f>
        <v>7.4472381004994039</v>
      </c>
      <c r="T12" s="75">
        <f>IF(ISNUMBER(G14),G14,"")</f>
        <v>2.6777219068664282</v>
      </c>
      <c r="U12" s="213">
        <f>IF(ISNUMBER(G15),G15,"")</f>
        <v>118.854196907824</v>
      </c>
      <c r="V12" s="76">
        <f>IF(ISNUMBER(G16),G16,"")</f>
        <v>162.12193027798645</v>
      </c>
      <c r="W12" s="76">
        <f>IF(SUM(M12:V12)&gt;0,SUM(M12:V12),"")</f>
        <v>438.69398749713957</v>
      </c>
      <c r="X12" s="76" t="str">
        <f>IF(ISNUMBER(G19),G19,"")</f>
        <v/>
      </c>
    </row>
    <row r="13" spans="1:24" x14ac:dyDescent="0.35">
      <c r="B13" s="24" t="s">
        <v>139</v>
      </c>
      <c r="C13" s="114">
        <f>'CALC Variable Supply-Year'!E50</f>
        <v>15</v>
      </c>
      <c r="D13" s="233">
        <f>'CALC Variable Supply-Year'!F50</f>
        <v>0.27523810049940339</v>
      </c>
      <c r="E13" s="115">
        <f>'CALC Variable Supply-Year'!G50</f>
        <v>0.33</v>
      </c>
      <c r="F13" s="235">
        <f>'CALC Variable Supply-Year'!H50</f>
        <v>7.1720000000000006</v>
      </c>
      <c r="G13" s="132">
        <f>'CALC Variable Supply-Year'!I50</f>
        <v>7.4472381004994039</v>
      </c>
      <c r="H13" s="106"/>
      <c r="K13" s="272" t="s">
        <v>46</v>
      </c>
      <c r="L13" s="43" t="str">
        <f t="shared" ref="L13:L21" si="1">L8</f>
        <v>1 home + subbasin average yard</v>
      </c>
      <c r="M13" s="243">
        <f t="shared" ref="M13:V13" si="2">M8*$L$31</f>
        <v>701.75741282191802</v>
      </c>
      <c r="N13" s="243">
        <f t="shared" si="2"/>
        <v>1655.5240806575343</v>
      </c>
      <c r="O13" s="243">
        <f t="shared" si="2"/>
        <v>37995.468515068496</v>
      </c>
      <c r="P13" s="243">
        <f t="shared" si="2"/>
        <v>2923.3799217095902</v>
      </c>
      <c r="Q13" s="243">
        <f t="shared" si="2"/>
        <v>86903.674985293168</v>
      </c>
      <c r="R13" s="243">
        <f t="shared" si="2"/>
        <v>1573.6679462575346</v>
      </c>
      <c r="S13" s="243">
        <f t="shared" si="2"/>
        <v>6648.0127495890429</v>
      </c>
      <c r="T13" s="243">
        <f t="shared" si="2"/>
        <v>2390.353193556165</v>
      </c>
      <c r="U13" s="244">
        <f t="shared" ref="U13" si="3">U8*$L$31</f>
        <v>106098.95987243838</v>
      </c>
      <c r="V13" s="245">
        <f t="shared" si="2"/>
        <v>144723.27122235615</v>
      </c>
      <c r="W13" s="245">
        <f>IF(ISNUMBER(W8),W8*$L$31,"")</f>
        <v>391614.06989974796</v>
      </c>
      <c r="X13" s="245" t="str">
        <f>IF(ISNUMBER(X8),X8*$L$31,"")</f>
        <v/>
      </c>
    </row>
    <row r="14" spans="1:24" x14ac:dyDescent="0.35">
      <c r="B14" s="24" t="s">
        <v>140</v>
      </c>
      <c r="C14" s="114">
        <f>'CALC Variable Supply-Year'!E51</f>
        <v>6</v>
      </c>
      <c r="D14" s="233">
        <f>'CALC Variable Supply-Year'!F51</f>
        <v>0.11009524019976136</v>
      </c>
      <c r="E14" s="115">
        <f>'CALC Variable Supply-Year'!G51</f>
        <v>0.31</v>
      </c>
      <c r="F14" s="235">
        <f>'CALC Variable Supply-Year'!H51</f>
        <v>2.5676266666666669</v>
      </c>
      <c r="G14" s="132">
        <f>'CALC Variable Supply-Year'!I51</f>
        <v>2.6777219068664282</v>
      </c>
      <c r="H14" s="106"/>
      <c r="K14" s="273"/>
      <c r="L14" s="3" t="str">
        <f t="shared" si="1"/>
        <v>1 home + 1/2 acre yard</v>
      </c>
      <c r="M14" s="246">
        <f t="shared" ref="M14:V14" si="4">M9*$L$31</f>
        <v>1227.209665753425</v>
      </c>
      <c r="N14" s="246">
        <f t="shared" si="4"/>
        <v>2891.4715726027398</v>
      </c>
      <c r="O14" s="246">
        <f t="shared" si="4"/>
        <v>66319.265205479445</v>
      </c>
      <c r="P14" s="246">
        <f t="shared" si="4"/>
        <v>5117.3612887671243</v>
      </c>
      <c r="Q14" s="246">
        <f t="shared" si="4"/>
        <v>137810.95245369867</v>
      </c>
      <c r="R14" s="246">
        <f t="shared" si="4"/>
        <v>2758.64133260274</v>
      </c>
      <c r="S14" s="246">
        <f t="shared" si="4"/>
        <v>9946.1738630137006</v>
      </c>
      <c r="T14" s="246">
        <f t="shared" si="4"/>
        <v>3795.1722476712339</v>
      </c>
      <c r="U14" s="247">
        <f t="shared" ref="U14" si="5">U9*$L$31</f>
        <v>142024.51604383567</v>
      </c>
      <c r="V14" s="248">
        <f t="shared" si="4"/>
        <v>216408.7018520548</v>
      </c>
      <c r="W14" s="248">
        <f t="shared" ref="W14:X17" si="6">IF(ISNUMBER(W9),W9*$L$31,"")</f>
        <v>588299.46552547952</v>
      </c>
      <c r="X14" s="248" t="str">
        <f t="shared" si="6"/>
        <v/>
      </c>
    </row>
    <row r="15" spans="1:24" x14ac:dyDescent="0.35">
      <c r="B15" s="24" t="s">
        <v>141</v>
      </c>
      <c r="C15" s="114">
        <f>'CALC Variable Supply-Year'!E52</f>
        <v>235</v>
      </c>
      <c r="D15" s="233">
        <f>'CALC Variable Supply-Year'!F52</f>
        <v>4.3120635744906526</v>
      </c>
      <c r="E15" s="115">
        <f>'CALC Variable Supply-Year'!G52</f>
        <v>0.37</v>
      </c>
      <c r="F15" s="235">
        <f>'CALC Variable Supply-Year'!H52</f>
        <v>114.54213333333335</v>
      </c>
      <c r="G15" s="132">
        <f>'CALC Variable Supply-Year'!I52</f>
        <v>118.854196907824</v>
      </c>
      <c r="K15" s="273"/>
      <c r="L15" s="3" t="str">
        <f t="shared" si="1"/>
        <v>950 gpd</v>
      </c>
      <c r="M15" s="246">
        <f t="shared" ref="M15:V15" si="7">M10*$L$31</f>
        <v>1289</v>
      </c>
      <c r="N15" s="246">
        <f t="shared" si="7"/>
        <v>3222.5</v>
      </c>
      <c r="O15" s="246">
        <f t="shared" si="7"/>
        <v>76051.000000000015</v>
      </c>
      <c r="P15" s="246">
        <f t="shared" si="7"/>
        <v>5162.72</v>
      </c>
      <c r="Q15" s="246">
        <f t="shared" si="7"/>
        <v>150928.97039999999</v>
      </c>
      <c r="R15" s="246">
        <f t="shared" si="7"/>
        <v>2581.36</v>
      </c>
      <c r="S15" s="246">
        <f t="shared" si="7"/>
        <v>9680.1</v>
      </c>
      <c r="T15" s="246">
        <f t="shared" si="7"/>
        <v>3872.0400000000004</v>
      </c>
      <c r="U15" s="247">
        <f t="shared" ref="U15" si="8">U10*$L$31</f>
        <v>151654.9</v>
      </c>
      <c r="V15" s="248">
        <f t="shared" si="7"/>
        <v>219415.6</v>
      </c>
      <c r="W15" s="248">
        <f t="shared" si="6"/>
        <v>623858.19039999996</v>
      </c>
      <c r="X15" s="248" t="str">
        <f t="shared" si="6"/>
        <v/>
      </c>
    </row>
    <row r="16" spans="1:24" ht="15" customHeight="1" thickBot="1" x14ac:dyDescent="0.4">
      <c r="B16" s="25" t="s">
        <v>142</v>
      </c>
      <c r="C16" s="116">
        <f>'CALC Variable Supply-Year'!E53</f>
        <v>340</v>
      </c>
      <c r="D16" s="234">
        <f>'CALC Variable Supply-Year'!F53</f>
        <v>6.2387302779864768</v>
      </c>
      <c r="E16" s="117">
        <f>'CALC Variable Supply-Year'!G53</f>
        <v>0.33</v>
      </c>
      <c r="F16" s="236">
        <f>'CALC Variable Supply-Year'!H53</f>
        <v>155.88319999999999</v>
      </c>
      <c r="G16" s="131">
        <f>'CALC Variable Supply-Year'!I53</f>
        <v>162.12193027798645</v>
      </c>
      <c r="K16" s="273"/>
      <c r="L16" s="140" t="str">
        <f t="shared" si="1"/>
        <v>Snohomish PUD Use (235 gpd)</v>
      </c>
      <c r="M16" s="249"/>
      <c r="N16" s="249"/>
      <c r="O16" s="249"/>
      <c r="P16" s="249"/>
      <c r="Q16" s="249"/>
      <c r="R16" s="249"/>
      <c r="S16" s="249"/>
      <c r="T16" s="249"/>
      <c r="U16" s="250"/>
      <c r="V16" s="251"/>
      <c r="W16" s="251" t="str">
        <f t="shared" si="6"/>
        <v/>
      </c>
      <c r="X16" s="251">
        <f t="shared" si="6"/>
        <v>67223.906000000003</v>
      </c>
    </row>
    <row r="17" spans="1:24" ht="15" thickBot="1" x14ac:dyDescent="0.4">
      <c r="B17" s="169" t="s">
        <v>145</v>
      </c>
      <c r="C17" s="221">
        <f>SUM(C7:C16)</f>
        <v>967</v>
      </c>
      <c r="D17" s="222">
        <f>SUM(D7:D16)</f>
        <v>17.773383052695159</v>
      </c>
      <c r="E17" s="223">
        <f>AVERAGE(E7:E16)</f>
        <v>0.30500000000000005</v>
      </c>
      <c r="F17" s="224">
        <f>SUM(F7:F16)</f>
        <v>420.92060444444445</v>
      </c>
      <c r="G17" s="225">
        <f>SUM(G7:G16)</f>
        <v>438.69398749713957</v>
      </c>
      <c r="K17" s="274"/>
      <c r="L17" s="44" t="str">
        <f t="shared" si="1"/>
        <v>Active Scenario - Variable Supply</v>
      </c>
      <c r="M17" s="252">
        <f t="shared" ref="M17:V17" si="9">M12*$L$31</f>
        <v>701.75741282191802</v>
      </c>
      <c r="N17" s="252">
        <f t="shared" si="9"/>
        <v>1655.5240806575343</v>
      </c>
      <c r="O17" s="252">
        <f t="shared" si="9"/>
        <v>37995.468515068496</v>
      </c>
      <c r="P17" s="252">
        <f t="shared" si="9"/>
        <v>2923.3799217095902</v>
      </c>
      <c r="Q17" s="252">
        <f t="shared" si="9"/>
        <v>86903.674985293168</v>
      </c>
      <c r="R17" s="252">
        <f t="shared" si="9"/>
        <v>1573.6679462575346</v>
      </c>
      <c r="S17" s="252">
        <f t="shared" si="9"/>
        <v>6648.0127495890429</v>
      </c>
      <c r="T17" s="252">
        <f t="shared" si="9"/>
        <v>2390.353193556165</v>
      </c>
      <c r="U17" s="253">
        <f t="shared" ref="U17" si="10">U12*$L$31</f>
        <v>106098.95987243838</v>
      </c>
      <c r="V17" s="254">
        <f t="shared" si="9"/>
        <v>144723.27122235615</v>
      </c>
      <c r="W17" s="254">
        <f t="shared" si="6"/>
        <v>391614.06989974796</v>
      </c>
      <c r="X17" s="254" t="str">
        <f t="shared" si="6"/>
        <v/>
      </c>
    </row>
    <row r="18" spans="1:24" ht="15" thickBot="1" x14ac:dyDescent="0.4">
      <c r="B18" s="151"/>
      <c r="C18" s="152"/>
      <c r="D18" s="168"/>
      <c r="E18" s="152"/>
      <c r="F18" s="168"/>
      <c r="G18" s="168"/>
      <c r="K18" s="275" t="s">
        <v>47</v>
      </c>
      <c r="L18" s="43" t="str">
        <f t="shared" si="1"/>
        <v>1 home + subbasin average yard</v>
      </c>
      <c r="M18" s="45">
        <f t="shared" ref="M18:V18" si="11">M8*$L$32</f>
        <v>1.0858545826245263E-3</v>
      </c>
      <c r="N18" s="45">
        <f t="shared" si="11"/>
        <v>2.5616521846181391E-3</v>
      </c>
      <c r="O18" s="45">
        <f t="shared" si="11"/>
        <v>5.8791760303817109E-2</v>
      </c>
      <c r="P18" s="45">
        <f t="shared" si="11"/>
        <v>4.5234513048833767E-3</v>
      </c>
      <c r="Q18" s="45">
        <f t="shared" si="11"/>
        <v>0.13446919406270602</v>
      </c>
      <c r="R18" s="45">
        <f t="shared" si="11"/>
        <v>2.4349932323503637E-3</v>
      </c>
      <c r="S18" s="45">
        <f t="shared" si="11"/>
        <v>1.028671016164872E-2</v>
      </c>
      <c r="T18" s="45">
        <f t="shared" si="11"/>
        <v>3.6986798028634453E-3</v>
      </c>
      <c r="U18" s="214">
        <f t="shared" ref="U18" si="12">U8*$L$32</f>
        <v>0.1641707514366062</v>
      </c>
      <c r="V18" s="46">
        <f t="shared" si="11"/>
        <v>0.22393554296388538</v>
      </c>
      <c r="W18" s="46">
        <f>IF(ISNUMBER(W8),W8*$L$32,"")</f>
        <v>0.60595859003600328</v>
      </c>
      <c r="X18" s="46" t="str">
        <f>IF(ISNUMBER(X8),X8*$L$32,"")</f>
        <v/>
      </c>
    </row>
    <row r="19" spans="1:24" ht="15" customHeight="1" thickBot="1" x14ac:dyDescent="0.4">
      <c r="B19" s="170" t="s">
        <v>146</v>
      </c>
      <c r="C19" s="171">
        <f>'CALC Variable Supply-Year'!E55</f>
        <v>0</v>
      </c>
      <c r="D19" s="172">
        <f>'CALC Variable Supply-Year'!F55</f>
        <v>0</v>
      </c>
      <c r="E19" s="173">
        <f>'CALC Variable Supply-Year'!G55</f>
        <v>0</v>
      </c>
      <c r="F19" s="174" t="e">
        <f>'CALC Variable Supply-Year'!H55</f>
        <v>#DIV/0!</v>
      </c>
      <c r="G19" s="175" t="e">
        <f>'CALC Variable Supply-Year'!I55</f>
        <v>#DIV/0!</v>
      </c>
      <c r="K19" s="276"/>
      <c r="L19" s="3" t="str">
        <f t="shared" si="1"/>
        <v>1 home + 1/2 acre yard</v>
      </c>
      <c r="M19" s="39">
        <f t="shared" ref="M19:V19" si="13">M9*$L$32</f>
        <v>1.8989058256483721E-3</v>
      </c>
      <c r="N19" s="39">
        <f t="shared" si="13"/>
        <v>4.4740783642224008E-3</v>
      </c>
      <c r="O19" s="39">
        <f t="shared" si="13"/>
        <v>0.10261819358641476</v>
      </c>
      <c r="P19" s="39">
        <f t="shared" si="13"/>
        <v>7.9182778903729746E-3</v>
      </c>
      <c r="Q19" s="39">
        <f t="shared" si="13"/>
        <v>0.21323986255585672</v>
      </c>
      <c r="R19" s="39">
        <f t="shared" si="13"/>
        <v>4.2685453378805511E-3</v>
      </c>
      <c r="S19" s="39">
        <f t="shared" si="13"/>
        <v>1.5390073936382358E-2</v>
      </c>
      <c r="T19" s="39">
        <f t="shared" si="13"/>
        <v>5.872407047916718E-3</v>
      </c>
      <c r="U19" s="215">
        <f t="shared" ref="U19" si="14">U9*$L$32</f>
        <v>0.2197596616344753</v>
      </c>
      <c r="V19" s="40">
        <f t="shared" si="13"/>
        <v>0.33485699806281993</v>
      </c>
      <c r="W19" s="40">
        <f t="shared" ref="W19:X22" si="15">IF(ISNUMBER(W9),W9*$L$32,"")</f>
        <v>0.91029700424199012</v>
      </c>
      <c r="X19" s="40" t="str">
        <f t="shared" si="15"/>
        <v/>
      </c>
    </row>
    <row r="20" spans="1:24" x14ac:dyDescent="0.35">
      <c r="K20" s="276"/>
      <c r="L20" s="3" t="str">
        <f t="shared" si="1"/>
        <v>950 gpd</v>
      </c>
      <c r="M20" s="39">
        <f t="shared" ref="M20:V20" si="16">M10*$L$32</f>
        <v>1.99451624083977E-3</v>
      </c>
      <c r="N20" s="39">
        <f t="shared" si="16"/>
        <v>4.986290602099425E-3</v>
      </c>
      <c r="O20" s="39">
        <f t="shared" si="16"/>
        <v>0.11767645820954645</v>
      </c>
      <c r="P20" s="39">
        <f t="shared" si="16"/>
        <v>7.9884630619924714E-3</v>
      </c>
      <c r="Q20" s="39">
        <f t="shared" si="16"/>
        <v>0.23353784536541886</v>
      </c>
      <c r="R20" s="39">
        <f t="shared" si="16"/>
        <v>3.9942315309962357E-3</v>
      </c>
      <c r="S20" s="39">
        <f t="shared" si="16"/>
        <v>1.4978368241235886E-2</v>
      </c>
      <c r="T20" s="39">
        <f t="shared" si="16"/>
        <v>5.9913472964943544E-3</v>
      </c>
      <c r="U20" s="215">
        <f t="shared" ref="U20" si="17">U10*$L$32</f>
        <v>0.23466110244602886</v>
      </c>
      <c r="V20" s="40">
        <f t="shared" si="16"/>
        <v>0.33950968013468008</v>
      </c>
      <c r="W20" s="40">
        <f t="shared" si="15"/>
        <v>0.9653183031293322</v>
      </c>
      <c r="X20" s="40" t="str">
        <f t="shared" si="15"/>
        <v/>
      </c>
    </row>
    <row r="21" spans="1:24" ht="15" thickBot="1" x14ac:dyDescent="0.4">
      <c r="K21" s="276"/>
      <c r="L21" s="140" t="str">
        <f t="shared" si="1"/>
        <v>Snohomish PUD Use (235 gpd)</v>
      </c>
      <c r="M21" s="146"/>
      <c r="N21" s="146"/>
      <c r="O21" s="146"/>
      <c r="P21" s="146"/>
      <c r="Q21" s="146"/>
      <c r="R21" s="146"/>
      <c r="S21" s="146"/>
      <c r="T21" s="146"/>
      <c r="U21" s="216"/>
      <c r="V21" s="147"/>
      <c r="W21" s="147" t="str">
        <f t="shared" si="15"/>
        <v/>
      </c>
      <c r="X21" s="147">
        <f t="shared" si="15"/>
        <v>0.10401797695088134</v>
      </c>
    </row>
    <row r="22" spans="1:24" ht="15" thickBot="1" x14ac:dyDescent="0.4">
      <c r="A22" s="108" t="s">
        <v>74</v>
      </c>
      <c r="D22" s="263" t="s">
        <v>78</v>
      </c>
      <c r="E22" s="264"/>
      <c r="F22" s="264"/>
      <c r="G22" s="265"/>
      <c r="K22" s="277"/>
      <c r="L22" s="44" t="str">
        <f t="shared" ref="L22" si="18">L17</f>
        <v>Active Scenario - Variable Supply</v>
      </c>
      <c r="M22" s="47">
        <f t="shared" ref="M22:V22" si="19">M12*$L$32</f>
        <v>1.0858545826245263E-3</v>
      </c>
      <c r="N22" s="47">
        <f t="shared" si="19"/>
        <v>2.5616521846181391E-3</v>
      </c>
      <c r="O22" s="47">
        <f t="shared" si="19"/>
        <v>5.8791760303817109E-2</v>
      </c>
      <c r="P22" s="47">
        <f t="shared" si="19"/>
        <v>4.5234513048833767E-3</v>
      </c>
      <c r="Q22" s="47">
        <f t="shared" si="19"/>
        <v>0.13446919406270602</v>
      </c>
      <c r="R22" s="47">
        <f t="shared" si="19"/>
        <v>2.4349932323503637E-3</v>
      </c>
      <c r="S22" s="47">
        <f t="shared" si="19"/>
        <v>1.028671016164872E-2</v>
      </c>
      <c r="T22" s="47">
        <f t="shared" si="19"/>
        <v>3.6986798028634453E-3</v>
      </c>
      <c r="U22" s="217">
        <f t="shared" ref="U22" si="20">U12*$L$32</f>
        <v>0.1641707514366062</v>
      </c>
      <c r="V22" s="48">
        <f t="shared" si="19"/>
        <v>0.22393554296388538</v>
      </c>
      <c r="W22" s="48">
        <f t="shared" si="15"/>
        <v>0.60595859003600328</v>
      </c>
      <c r="X22" s="48" t="str">
        <f t="shared" si="15"/>
        <v/>
      </c>
    </row>
    <row r="23" spans="1:24" ht="58" x14ac:dyDescent="0.35">
      <c r="B23" s="23" t="s">
        <v>105</v>
      </c>
      <c r="C23" s="26" t="s">
        <v>117</v>
      </c>
      <c r="D23" s="137" t="s">
        <v>27</v>
      </c>
      <c r="E23" s="13" t="s">
        <v>49</v>
      </c>
      <c r="F23" s="13" t="s">
        <v>81</v>
      </c>
      <c r="G23" s="9" t="s">
        <v>17</v>
      </c>
      <c r="K23" s="278" t="s">
        <v>75</v>
      </c>
      <c r="L23" s="43" t="str">
        <f>L8</f>
        <v>1 home + subbasin average yard</v>
      </c>
      <c r="M23" s="49">
        <f>IF(ISNUMBER(M8),M13/$C24,"")</f>
        <v>350.87870641095901</v>
      </c>
      <c r="N23" s="49">
        <f>IF(ISNUMBER(N8),N13/$C25,"")</f>
        <v>331.10481613150688</v>
      </c>
      <c r="O23" s="49">
        <f>IF(ISNUMBER(O8),O13/$C26,"")</f>
        <v>321.99549589041101</v>
      </c>
      <c r="P23" s="49">
        <f>IF(ISNUMBER(P8),P13/$C27,"")</f>
        <v>365.42249021369878</v>
      </c>
      <c r="Q23" s="49">
        <f>IF(ISNUMBER(Q8),Q13/$C28,"")</f>
        <v>371.38322643287677</v>
      </c>
      <c r="R23" s="49">
        <f>IF(ISNUMBER(R8),R13/$C29,"")</f>
        <v>393.41698656438365</v>
      </c>
      <c r="S23" s="49">
        <f>IF(ISNUMBER(S8),S13/$C30,"")</f>
        <v>443.20084997260284</v>
      </c>
      <c r="T23" s="49">
        <f>IF(ISNUMBER(T8),T13/$C31,"")</f>
        <v>398.3921989260275</v>
      </c>
      <c r="U23" s="218">
        <f>IF(ISNUMBER(U8),U13/$C32,"")</f>
        <v>451.48493562739736</v>
      </c>
      <c r="V23" s="50">
        <f>IF(ISNUMBER(V8),V13/$C33,"")</f>
        <v>425.65668006575339</v>
      </c>
      <c r="W23" s="50">
        <f>IF(ISNUMBER(W8),W13/$C34,"")</f>
        <v>404.97835563572693</v>
      </c>
      <c r="X23" s="50" t="str">
        <f>IF(ISNUMBER(X8),X13/$C36,"")</f>
        <v/>
      </c>
    </row>
    <row r="24" spans="1:24" x14ac:dyDescent="0.35">
      <c r="B24" s="24" t="s">
        <v>133</v>
      </c>
      <c r="C24" s="114">
        <f>'SCEN Subbasin Avg Year'!E44</f>
        <v>2</v>
      </c>
      <c r="D24" s="233">
        <f>'SCEN Subbasin Avg Year'!F44</f>
        <v>3.6967266245341107E-2</v>
      </c>
      <c r="E24" s="115">
        <f>'SCEN Subbasin Avg Year'!G44</f>
        <v>0.28000000000000003</v>
      </c>
      <c r="F24" s="235">
        <f>'SCEN Subbasin Avg Year'!H44</f>
        <v>0.74915555555555569</v>
      </c>
      <c r="G24" s="132">
        <f>'SCEN Subbasin Avg Year'!I44</f>
        <v>0.78612282180089676</v>
      </c>
      <c r="K24" s="279"/>
      <c r="L24" s="3" t="str">
        <f>L9</f>
        <v>1 home + 1/2 acre yard</v>
      </c>
      <c r="M24" s="51">
        <f>IF(ISNUMBER(M9),M14/$C40,"")</f>
        <v>613.60483287671252</v>
      </c>
      <c r="N24" s="51">
        <f>IF(ISNUMBER(N9),N14/$C41,"")</f>
        <v>578.29431452054791</v>
      </c>
      <c r="O24" s="51">
        <f>IF(ISNUMBER(O9),O14/$C42,"")</f>
        <v>562.02767123287663</v>
      </c>
      <c r="P24" s="51">
        <f>IF(ISNUMBER(P9),P14/$C43,"")</f>
        <v>639.67016109589053</v>
      </c>
      <c r="Q24" s="51">
        <f>IF(ISNUMBER(Q9),Q14/$C44,"")</f>
        <v>588.93569424657551</v>
      </c>
      <c r="R24" s="51">
        <f>IF(ISNUMBER(R9),R14/$C45,"")</f>
        <v>689.66033315068501</v>
      </c>
      <c r="S24" s="51">
        <f>IF(ISNUMBER(S9),S14/$C46,"")</f>
        <v>663.07825753424675</v>
      </c>
      <c r="T24" s="51">
        <f>IF(ISNUMBER(T9),T14/$C47,"")</f>
        <v>632.52870794520561</v>
      </c>
      <c r="U24" s="219">
        <f>IF(ISNUMBER(U9),U14/$C48,"")</f>
        <v>604.35964273972627</v>
      </c>
      <c r="V24" s="52">
        <f>IF(ISNUMBER(V9),V14/$C49,"")</f>
        <v>636.49618191780826</v>
      </c>
      <c r="W24" s="52">
        <f>IF(ISNUMBER(W9),W14/$C50,"")</f>
        <v>608.37586920938941</v>
      </c>
      <c r="X24" s="52" t="str">
        <f>IF(ISNUMBER(X9),X14/$C52,"")</f>
        <v/>
      </c>
    </row>
    <row r="25" spans="1:24" x14ac:dyDescent="0.35">
      <c r="B25" s="24" t="s">
        <v>134</v>
      </c>
      <c r="C25" s="114">
        <f>'SCEN Subbasin Avg Year'!E45</f>
        <v>5</v>
      </c>
      <c r="D25" s="233">
        <f>'SCEN Subbasin Avg Year'!F45</f>
        <v>9.2418165613352768E-2</v>
      </c>
      <c r="E25" s="118">
        <f>'SCEN Subbasin Avg Year'!G45</f>
        <v>0.28000000000000003</v>
      </c>
      <c r="F25" s="235">
        <f>'SCEN Subbasin Avg Year'!H45</f>
        <v>1.7621333333333333</v>
      </c>
      <c r="G25" s="132">
        <f>'SCEN Subbasin Avg Year'!I45</f>
        <v>1.854551498946686</v>
      </c>
      <c r="K25" s="279"/>
      <c r="L25" s="3" t="str">
        <f>L10</f>
        <v>950 gpd</v>
      </c>
      <c r="M25" s="51">
        <f>IF(ISNUMBER(M10),M15/$C56,"")</f>
        <v>644.5</v>
      </c>
      <c r="N25" s="51">
        <f>IF(ISNUMBER(N10),N15/$C57,"")</f>
        <v>644.5</v>
      </c>
      <c r="O25" s="51">
        <f>IF(ISNUMBER(O10),O15/$C58,"")</f>
        <v>644.50000000000011</v>
      </c>
      <c r="P25" s="51">
        <f>IF(ISNUMBER(P10),P15/$C59,"")</f>
        <v>645.34</v>
      </c>
      <c r="Q25" s="51">
        <f>IF(ISNUMBER(Q10),Q15/$C60,"")</f>
        <v>644.99559999999997</v>
      </c>
      <c r="R25" s="51">
        <f>IF(ISNUMBER(R10),R15/$C61,"")</f>
        <v>645.34</v>
      </c>
      <c r="S25" s="51">
        <f>IF(ISNUMBER(S10),S15/$C62,"")</f>
        <v>645.34</v>
      </c>
      <c r="T25" s="51">
        <f>IF(ISNUMBER(T10),T15/$C63,"")</f>
        <v>645.34</v>
      </c>
      <c r="U25" s="219">
        <f>IF(ISNUMBER(U10),U15/$C64,"")</f>
        <v>645.34</v>
      </c>
      <c r="V25" s="52">
        <f>IF(ISNUMBER(V10),V15/$C65,"")</f>
        <v>645.34</v>
      </c>
      <c r="W25" s="52">
        <f>IF(ISNUMBER(W10),W15/$C66,"")</f>
        <v>645.14807693898649</v>
      </c>
      <c r="X25" s="52" t="str">
        <f>IF(ISNUMBER(X10),X15/$C68,"")</f>
        <v/>
      </c>
    </row>
    <row r="26" spans="1:24" ht="15" customHeight="1" x14ac:dyDescent="0.35">
      <c r="B26" s="24" t="s">
        <v>135</v>
      </c>
      <c r="C26" s="114">
        <f>'SCEN Subbasin Avg Year'!E46</f>
        <v>118</v>
      </c>
      <c r="D26" s="233">
        <f>'SCEN Subbasin Avg Year'!F46</f>
        <v>2.1810687084751255</v>
      </c>
      <c r="E26" s="115">
        <f>'SCEN Subbasin Avg Year'!G46</f>
        <v>0.28000000000000003</v>
      </c>
      <c r="F26" s="235">
        <f>'SCEN Subbasin Avg Year'!H46</f>
        <v>40.382222222222225</v>
      </c>
      <c r="G26" s="132">
        <f>'SCEN Subbasin Avg Year'!I46</f>
        <v>42.563290930697349</v>
      </c>
      <c r="K26" s="279"/>
      <c r="L26" s="3" t="str">
        <f>L11</f>
        <v>Snohomish PUD Use (235 gpd)</v>
      </c>
      <c r="M26" s="51" t="str">
        <f>IF(ISNUMBER(M11),M16/$C72,"")</f>
        <v/>
      </c>
      <c r="N26" s="51" t="str">
        <f>IF(ISNUMBER(N11),N16/$C73,"")</f>
        <v/>
      </c>
      <c r="O26" s="51" t="str">
        <f>IF(ISNUMBER(O11),O16/$C74,"")</f>
        <v/>
      </c>
      <c r="P26" s="51" t="str">
        <f>IF(ISNUMBER(P11),P16/$C75,"")</f>
        <v/>
      </c>
      <c r="Q26" s="51" t="str">
        <f>IF(ISNUMBER(Q11),Q16/$C76,"")</f>
        <v/>
      </c>
      <c r="R26" s="51" t="str">
        <f>IF(ISNUMBER(R11),R16/$C77,"")</f>
        <v/>
      </c>
      <c r="S26" s="51" t="str">
        <f>IF(ISNUMBER(S11),S16/$C78,"")</f>
        <v/>
      </c>
      <c r="T26" s="51" t="str">
        <f>IF(ISNUMBER(T11),T16/$C79,"")</f>
        <v/>
      </c>
      <c r="U26" s="219" t="str">
        <f>IF(ISNUMBER(U11),U16/$C80,"")</f>
        <v/>
      </c>
      <c r="V26" s="52" t="str">
        <f>IF(ISNUMBER(V11),V16/$C81,"")</f>
        <v/>
      </c>
      <c r="W26" s="52" t="str">
        <f>IF(ISNUMBER(W11),W16/$C82,"")</f>
        <v/>
      </c>
      <c r="X26" s="52">
        <f>IF(ISNUMBER(X11),X16/$C84,"")</f>
        <v>69.518000000000001</v>
      </c>
    </row>
    <row r="27" spans="1:24" ht="15" thickBot="1" x14ac:dyDescent="0.4">
      <c r="B27" s="24" t="s">
        <v>136</v>
      </c>
      <c r="C27" s="114">
        <f>'SCEN Subbasin Avg Year'!E47</f>
        <v>8</v>
      </c>
      <c r="D27" s="233">
        <f>'SCEN Subbasin Avg Year'!F47</f>
        <v>0.1467936535996818</v>
      </c>
      <c r="E27" s="115">
        <f>'SCEN Subbasin Avg Year'!G47</f>
        <v>0.28000000000000003</v>
      </c>
      <c r="F27" s="235">
        <f>'SCEN Subbasin Avg Year'!H47</f>
        <v>3.1280355555555563</v>
      </c>
      <c r="G27" s="132">
        <f>'SCEN Subbasin Avg Year'!I47</f>
        <v>3.274829209155238</v>
      </c>
      <c r="K27" s="280"/>
      <c r="L27" s="141" t="str">
        <f>L12</f>
        <v>Active Scenario - Variable Supply</v>
      </c>
      <c r="M27" s="142">
        <f>IF(ISNUMBER(M12),M17/$C7,"")</f>
        <v>350.87870641095901</v>
      </c>
      <c r="N27" s="142">
        <f>IF(ISNUMBER(N12),N17/$C8,"")</f>
        <v>331.10481613150688</v>
      </c>
      <c r="O27" s="142">
        <f>IF(ISNUMBER(O12),O17/$C9,"")</f>
        <v>321.99549589041101</v>
      </c>
      <c r="P27" s="142">
        <f>IF(ISNUMBER(P12),P17/$C10,"")</f>
        <v>365.42249021369878</v>
      </c>
      <c r="Q27" s="142">
        <f>IF(ISNUMBER(Q12),Q17/$C11,"")</f>
        <v>371.38322643287677</v>
      </c>
      <c r="R27" s="142">
        <f>IF(ISNUMBER(R12),R17/$C12,"")</f>
        <v>393.41698656438365</v>
      </c>
      <c r="S27" s="142">
        <f>IF(ISNUMBER(S12),S17/$C13,"")</f>
        <v>443.20084997260284</v>
      </c>
      <c r="T27" s="142">
        <f>IF(ISNUMBER(T12),T17/$C14,"")</f>
        <v>398.3921989260275</v>
      </c>
      <c r="U27" s="220">
        <f>IF(ISNUMBER(U12),U17/$C15,"")</f>
        <v>451.48493562739736</v>
      </c>
      <c r="V27" s="143">
        <f>IF(ISNUMBER(V12),V17/$C16,"")</f>
        <v>425.65668006575339</v>
      </c>
      <c r="W27" s="143">
        <f>IF(ISNUMBER(W12),W17/$C17,"")</f>
        <v>404.97835563572693</v>
      </c>
      <c r="X27" s="143" t="str">
        <f>IF(ISNUMBER(X12),X17/$C18,"")</f>
        <v/>
      </c>
    </row>
    <row r="28" spans="1:24" x14ac:dyDescent="0.35">
      <c r="B28" s="24" t="s">
        <v>137</v>
      </c>
      <c r="C28" s="114">
        <f>'SCEN Subbasin Avg Year'!E48</f>
        <v>234</v>
      </c>
      <c r="D28" s="233">
        <f>'SCEN Subbasin Avg Year'!F48</f>
        <v>4.3066112387855213</v>
      </c>
      <c r="E28" s="115">
        <f>'SCEN Subbasin Avg Year'!G48</f>
        <v>0.31</v>
      </c>
      <c r="F28" s="235">
        <f>'SCEN Subbasin Avg Year'!H48</f>
        <v>93.044640000000001</v>
      </c>
      <c r="G28" s="132">
        <f>'SCEN Subbasin Avg Year'!I48</f>
        <v>97.351251238785522</v>
      </c>
    </row>
    <row r="29" spans="1:24" x14ac:dyDescent="0.35">
      <c r="B29" s="24" t="s">
        <v>138</v>
      </c>
      <c r="C29" s="114">
        <f>'SCEN Subbasin Avg Year'!E49</f>
        <v>4</v>
      </c>
      <c r="D29" s="233">
        <f>'SCEN Subbasin Avg Year'!F49</f>
        <v>7.33968267998409E-2</v>
      </c>
      <c r="E29" s="115">
        <f>'SCEN Subbasin Avg Year'!G49</f>
        <v>0.28000000000000003</v>
      </c>
      <c r="F29" s="235">
        <f>'SCEN Subbasin Avg Year'!H49</f>
        <v>1.6894577777777779</v>
      </c>
      <c r="G29" s="132">
        <f>'SCEN Subbasin Avg Year'!I49</f>
        <v>1.7628546045776188</v>
      </c>
    </row>
    <row r="30" spans="1:24" ht="15" customHeight="1" x14ac:dyDescent="0.35">
      <c r="B30" s="24" t="s">
        <v>139</v>
      </c>
      <c r="C30" s="114">
        <f>'SCEN Subbasin Avg Year'!E50</f>
        <v>15</v>
      </c>
      <c r="D30" s="233">
        <f>'SCEN Subbasin Avg Year'!F50</f>
        <v>0.27523810049940339</v>
      </c>
      <c r="E30" s="115">
        <f>'SCEN Subbasin Avg Year'!G50</f>
        <v>0.33</v>
      </c>
      <c r="F30" s="235">
        <f>'SCEN Subbasin Avg Year'!H50</f>
        <v>7.1720000000000006</v>
      </c>
      <c r="G30" s="132">
        <f>'SCEN Subbasin Avg Year'!I50</f>
        <v>7.4472381004994039</v>
      </c>
      <c r="H30" s="37"/>
      <c r="K30" s="63" t="s">
        <v>95</v>
      </c>
    </row>
    <row r="31" spans="1:24" x14ac:dyDescent="0.35">
      <c r="B31" s="24" t="s">
        <v>140</v>
      </c>
      <c r="C31" s="114">
        <f>'SCEN Subbasin Avg Year'!E51</f>
        <v>6</v>
      </c>
      <c r="D31" s="233">
        <f>'SCEN Subbasin Avg Year'!F51</f>
        <v>0.11009524019976136</v>
      </c>
      <c r="E31" s="115">
        <f>'SCEN Subbasin Avg Year'!G51</f>
        <v>0.31</v>
      </c>
      <c r="F31" s="235">
        <f>'SCEN Subbasin Avg Year'!H51</f>
        <v>2.5676266666666669</v>
      </c>
      <c r="G31" s="132">
        <f>'SCEN Subbasin Avg Year'!I51</f>
        <v>2.6777219068664282</v>
      </c>
      <c r="K31" s="99" t="s">
        <v>70</v>
      </c>
      <c r="L31" s="113">
        <f>(7.48*43560)/365</f>
        <v>892.68164383561657</v>
      </c>
      <c r="M31" s="21" t="s">
        <v>71</v>
      </c>
    </row>
    <row r="32" spans="1:24" x14ac:dyDescent="0.35">
      <c r="B32" s="24" t="s">
        <v>141</v>
      </c>
      <c r="C32" s="114">
        <f>'SCEN Subbasin Avg Year'!E52</f>
        <v>235</v>
      </c>
      <c r="D32" s="233">
        <f>'SCEN Subbasin Avg Year'!F52</f>
        <v>4.3120635744906526</v>
      </c>
      <c r="E32" s="115">
        <f>'SCEN Subbasin Avg Year'!G52</f>
        <v>0.37</v>
      </c>
      <c r="F32" s="235">
        <f>'SCEN Subbasin Avg Year'!H52</f>
        <v>114.54213333333335</v>
      </c>
      <c r="G32" s="132">
        <f>'SCEN Subbasin Avg Year'!I52</f>
        <v>118.854196907824</v>
      </c>
      <c r="K32" s="99" t="s">
        <v>70</v>
      </c>
      <c r="L32" s="112">
        <f>43560/(365*24*3600)</f>
        <v>1.3812785388127853E-3</v>
      </c>
      <c r="M32" s="21" t="s">
        <v>72</v>
      </c>
    </row>
    <row r="33" spans="1:12" ht="15" thickBot="1" x14ac:dyDescent="0.4">
      <c r="B33" s="25" t="s">
        <v>142</v>
      </c>
      <c r="C33" s="116">
        <f>'SCEN Subbasin Avg Year'!E53</f>
        <v>340</v>
      </c>
      <c r="D33" s="234">
        <f>'SCEN Subbasin Avg Year'!F53</f>
        <v>6.2387302779864768</v>
      </c>
      <c r="E33" s="117">
        <f>'SCEN Subbasin Avg Year'!G53</f>
        <v>0.33</v>
      </c>
      <c r="F33" s="236">
        <f>'SCEN Subbasin Avg Year'!H53</f>
        <v>155.88319999999999</v>
      </c>
      <c r="G33" s="131">
        <f>'SCEN Subbasin Avg Year'!I53</f>
        <v>162.12193027798645</v>
      </c>
      <c r="K33" s="99"/>
      <c r="L33" s="112"/>
    </row>
    <row r="34" spans="1:12" ht="15" thickBot="1" x14ac:dyDescent="0.4">
      <c r="B34" s="169" t="s">
        <v>145</v>
      </c>
      <c r="C34" s="221">
        <f>SUM(C24:C33)</f>
        <v>967</v>
      </c>
      <c r="D34" s="222">
        <f>SUM(D24:D33)</f>
        <v>17.773383052695159</v>
      </c>
      <c r="E34" s="223">
        <f>AVERAGE(E24:E33)</f>
        <v>0.30500000000000005</v>
      </c>
      <c r="F34" s="224">
        <f>SUM(F24:F33)</f>
        <v>420.92060444444445</v>
      </c>
      <c r="G34" s="225">
        <f>SUM(G24:G33)</f>
        <v>438.69398749713957</v>
      </c>
      <c r="K34" s="99"/>
      <c r="L34" s="112"/>
    </row>
    <row r="35" spans="1:12" ht="15" thickBot="1" x14ac:dyDescent="0.4">
      <c r="B35" s="151"/>
      <c r="C35" s="152"/>
      <c r="D35" s="168"/>
      <c r="E35" s="176"/>
      <c r="F35" s="168"/>
      <c r="G35" s="168"/>
    </row>
    <row r="36" spans="1:12" ht="15.75" customHeight="1" thickBot="1" x14ac:dyDescent="0.4">
      <c r="B36" s="170" t="s">
        <v>146</v>
      </c>
      <c r="C36" s="171">
        <f>'SCEN Subbasin Avg Year'!E55</f>
        <v>0</v>
      </c>
      <c r="D36" s="172">
        <f>'SCEN Subbasin Avg Year'!F55</f>
        <v>0</v>
      </c>
      <c r="E36" s="173">
        <f>'SCEN Subbasin Avg Year'!G55</f>
        <v>0</v>
      </c>
      <c r="F36" s="174" t="e">
        <f>'SCEN Subbasin Avg Year'!H55</f>
        <v>#DIV/0!</v>
      </c>
      <c r="G36" s="175" t="e">
        <f>'SCEN Subbasin Avg Year'!I55</f>
        <v>#DIV/0!</v>
      </c>
    </row>
    <row r="37" spans="1:12" ht="15" thickBot="1" x14ac:dyDescent="0.4"/>
    <row r="38" spans="1:12" ht="15" thickBot="1" x14ac:dyDescent="0.4">
      <c r="A38" s="108" t="s">
        <v>76</v>
      </c>
      <c r="D38" s="263" t="s">
        <v>79</v>
      </c>
      <c r="E38" s="264"/>
      <c r="F38" s="264"/>
      <c r="G38" s="265"/>
    </row>
    <row r="39" spans="1:12" ht="58" x14ac:dyDescent="0.35">
      <c r="B39" s="23" t="s">
        <v>105</v>
      </c>
      <c r="C39" s="26" t="s">
        <v>117</v>
      </c>
      <c r="D39" s="137" t="s">
        <v>27</v>
      </c>
      <c r="E39" s="13" t="s">
        <v>49</v>
      </c>
      <c r="F39" s="13" t="s">
        <v>81</v>
      </c>
      <c r="G39" s="9" t="s">
        <v>17</v>
      </c>
    </row>
    <row r="40" spans="1:12" x14ac:dyDescent="0.35">
      <c r="B40" s="24" t="s">
        <v>133</v>
      </c>
      <c r="C40" s="114">
        <f>'SCEN 0.5ac Year'!E44</f>
        <v>2</v>
      </c>
      <c r="D40" s="127">
        <f>'SCEN 0.5ac Year'!F44</f>
        <v>3.6967266245341107E-2</v>
      </c>
      <c r="E40" s="115">
        <f>'SCEN 0.5ac Year'!G44</f>
        <v>0.5</v>
      </c>
      <c r="F40" s="129">
        <f>'SCEN 0.5ac Year'!H44</f>
        <v>1.337777777777778</v>
      </c>
      <c r="G40" s="132">
        <f>'SCEN 0.5ac Year'!I44</f>
        <v>1.374745044023119</v>
      </c>
    </row>
    <row r="41" spans="1:12" x14ac:dyDescent="0.35">
      <c r="B41" s="24" t="s">
        <v>134</v>
      </c>
      <c r="C41" s="114">
        <f>'SCEN 0.5ac Year'!E45</f>
        <v>5</v>
      </c>
      <c r="D41" s="127">
        <f>'SCEN 0.5ac Year'!F45</f>
        <v>9.2418165613352768E-2</v>
      </c>
      <c r="E41" s="115">
        <f>'SCEN 0.5ac Year'!G45</f>
        <v>0.5</v>
      </c>
      <c r="F41" s="129">
        <f>'SCEN 0.5ac Year'!H45</f>
        <v>3.1466666666666665</v>
      </c>
      <c r="G41" s="132">
        <f>'SCEN 0.5ac Year'!I45</f>
        <v>3.2390848322800192</v>
      </c>
    </row>
    <row r="42" spans="1:12" x14ac:dyDescent="0.35">
      <c r="B42" s="24" t="s">
        <v>135</v>
      </c>
      <c r="C42" s="114">
        <f>'SCEN 0.5ac Year'!E46</f>
        <v>118</v>
      </c>
      <c r="D42" s="127">
        <f>'SCEN 0.5ac Year'!F46</f>
        <v>2.1810687084751255</v>
      </c>
      <c r="E42" s="115">
        <f>'SCEN 0.5ac Year'!G46</f>
        <v>0.5</v>
      </c>
      <c r="F42" s="129">
        <f>'SCEN 0.5ac Year'!H46</f>
        <v>72.1111111111111</v>
      </c>
      <c r="G42" s="132">
        <f>'SCEN 0.5ac Year'!I46</f>
        <v>74.292179819586224</v>
      </c>
    </row>
    <row r="43" spans="1:12" x14ac:dyDescent="0.35">
      <c r="B43" s="24" t="s">
        <v>136</v>
      </c>
      <c r="C43" s="114">
        <f>'SCEN 0.5ac Year'!E47</f>
        <v>8</v>
      </c>
      <c r="D43" s="127">
        <f>'SCEN 0.5ac Year'!F47</f>
        <v>0.1467936535996818</v>
      </c>
      <c r="E43" s="115">
        <f>'SCEN 0.5ac Year'!G47</f>
        <v>0.5</v>
      </c>
      <c r="F43" s="129">
        <f>'SCEN 0.5ac Year'!H47</f>
        <v>5.5857777777777784</v>
      </c>
      <c r="G43" s="132">
        <f>'SCEN 0.5ac Year'!I47</f>
        <v>5.7325714313774601</v>
      </c>
    </row>
    <row r="44" spans="1:12" x14ac:dyDescent="0.35">
      <c r="B44" s="24" t="s">
        <v>137</v>
      </c>
      <c r="C44" s="114">
        <f>'SCEN 0.5ac Year'!E48</f>
        <v>234</v>
      </c>
      <c r="D44" s="127">
        <f>'SCEN 0.5ac Year'!F48</f>
        <v>4.3066112387855213</v>
      </c>
      <c r="E44" s="115">
        <f>'SCEN 0.5ac Year'!G48</f>
        <v>0.5</v>
      </c>
      <c r="F44" s="129">
        <f>'SCEN 0.5ac Year'!H48</f>
        <v>150.072</v>
      </c>
      <c r="G44" s="132">
        <f>'SCEN 0.5ac Year'!I48</f>
        <v>154.37861123878554</v>
      </c>
    </row>
    <row r="45" spans="1:12" x14ac:dyDescent="0.35">
      <c r="B45" s="24" t="s">
        <v>138</v>
      </c>
      <c r="C45" s="114">
        <f>'SCEN 0.5ac Year'!E49</f>
        <v>4</v>
      </c>
      <c r="D45" s="127">
        <f>'SCEN 0.5ac Year'!F49</f>
        <v>7.33968267998409E-2</v>
      </c>
      <c r="E45" s="115">
        <f>'SCEN 0.5ac Year'!G49</f>
        <v>0.5</v>
      </c>
      <c r="F45" s="129">
        <f>'SCEN 0.5ac Year'!H49</f>
        <v>3.016888888888889</v>
      </c>
      <c r="G45" s="132">
        <f>'SCEN 0.5ac Year'!I49</f>
        <v>3.0902857156887298</v>
      </c>
    </row>
    <row r="46" spans="1:12" x14ac:dyDescent="0.35">
      <c r="B46" s="24" t="s">
        <v>139</v>
      </c>
      <c r="C46" s="114">
        <f>'SCEN 0.5ac Year'!E50</f>
        <v>15</v>
      </c>
      <c r="D46" s="127">
        <f>'SCEN 0.5ac Year'!F50</f>
        <v>0.27523810049940339</v>
      </c>
      <c r="E46" s="115">
        <f>'SCEN 0.5ac Year'!G50</f>
        <v>0.5</v>
      </c>
      <c r="F46" s="129">
        <f>'SCEN 0.5ac Year'!H50</f>
        <v>10.866666666666667</v>
      </c>
      <c r="G46" s="132">
        <f>'SCEN 0.5ac Year'!I50</f>
        <v>11.141904767166071</v>
      </c>
    </row>
    <row r="47" spans="1:12" x14ac:dyDescent="0.35">
      <c r="B47" s="24" t="s">
        <v>140</v>
      </c>
      <c r="C47" s="114">
        <f>'SCEN 0.5ac Year'!E51</f>
        <v>6</v>
      </c>
      <c r="D47" s="127">
        <f>'SCEN 0.5ac Year'!F51</f>
        <v>0.11009524019976136</v>
      </c>
      <c r="E47" s="115">
        <f>'SCEN 0.5ac Year'!G51</f>
        <v>0.5</v>
      </c>
      <c r="F47" s="129">
        <f>'SCEN 0.5ac Year'!H51</f>
        <v>4.1413333333333338</v>
      </c>
      <c r="G47" s="132">
        <f>'SCEN 0.5ac Year'!I51</f>
        <v>4.2514285735330954</v>
      </c>
    </row>
    <row r="48" spans="1:12" x14ac:dyDescent="0.35">
      <c r="B48" s="24" t="s">
        <v>141</v>
      </c>
      <c r="C48" s="114">
        <f>'SCEN 0.5ac Year'!E52</f>
        <v>235</v>
      </c>
      <c r="D48" s="127">
        <f>'SCEN 0.5ac Year'!F52</f>
        <v>4.3120635744906526</v>
      </c>
      <c r="E48" s="115">
        <f>'SCEN 0.5ac Year'!G52</f>
        <v>0.5</v>
      </c>
      <c r="F48" s="129">
        <f>'SCEN 0.5ac Year'!H52</f>
        <v>154.78666666666669</v>
      </c>
      <c r="G48" s="132">
        <f>'SCEN 0.5ac Year'!I52</f>
        <v>159.09873024115734</v>
      </c>
    </row>
    <row r="49" spans="1:9" ht="15" thickBot="1" x14ac:dyDescent="0.4">
      <c r="B49" s="25" t="s">
        <v>142</v>
      </c>
      <c r="C49" s="116">
        <f>'SCEN 0.5ac Year'!E53</f>
        <v>340</v>
      </c>
      <c r="D49" s="128">
        <f>'SCEN 0.5ac Year'!F53</f>
        <v>6.2387302779864768</v>
      </c>
      <c r="E49" s="117">
        <f>'SCEN 0.5ac Year'!G53</f>
        <v>0.5</v>
      </c>
      <c r="F49" s="130">
        <f>'SCEN 0.5ac Year'!H53</f>
        <v>236.18666666666667</v>
      </c>
      <c r="G49" s="131">
        <f>'SCEN 0.5ac Year'!I53</f>
        <v>242.42539694465313</v>
      </c>
    </row>
    <row r="50" spans="1:9" ht="15" thickBot="1" x14ac:dyDescent="0.4">
      <c r="B50" s="169" t="s">
        <v>145</v>
      </c>
      <c r="C50" s="221">
        <f>SUM(C40:C49)</f>
        <v>967</v>
      </c>
      <c r="D50" s="222">
        <f>SUM(D40:D49)</f>
        <v>17.773383052695159</v>
      </c>
      <c r="E50" s="223">
        <f>AVERAGE(E40:E49)</f>
        <v>0.5</v>
      </c>
      <c r="F50" s="224">
        <f>SUM(F40:F49)</f>
        <v>641.25155555555557</v>
      </c>
      <c r="G50" s="225">
        <f>SUM(G40:G49)</f>
        <v>659.02493860825075</v>
      </c>
      <c r="I50" s="104"/>
    </row>
    <row r="51" spans="1:9" ht="15" thickBot="1" x14ac:dyDescent="0.4">
      <c r="B51" s="151"/>
      <c r="C51" s="152"/>
      <c r="D51" s="168"/>
      <c r="E51" s="152"/>
      <c r="F51" s="168"/>
      <c r="G51" s="168"/>
    </row>
    <row r="52" spans="1:9" ht="15" thickBot="1" x14ac:dyDescent="0.4">
      <c r="B52" s="170" t="s">
        <v>146</v>
      </c>
      <c r="C52" s="171">
        <f>'SCEN 0.5ac Year'!E55</f>
        <v>0</v>
      </c>
      <c r="D52" s="172">
        <f>'SCEN 0.5ac Year'!F55</f>
        <v>0</v>
      </c>
      <c r="E52" s="173">
        <f>'SCEN 0.5ac Year'!G55</f>
        <v>0</v>
      </c>
      <c r="F52" s="174" t="e">
        <f>'SCEN 0.5ac Year'!H55</f>
        <v>#DIV/0!</v>
      </c>
      <c r="G52" s="175" t="e">
        <f>'SCEN 0.5ac Year'!I55</f>
        <v>#DIV/0!</v>
      </c>
    </row>
    <row r="53" spans="1:9" ht="15" thickBot="1" x14ac:dyDescent="0.4"/>
    <row r="54" spans="1:9" ht="15" thickBot="1" x14ac:dyDescent="0.4">
      <c r="A54" s="108" t="s">
        <v>77</v>
      </c>
      <c r="D54" s="266" t="s">
        <v>82</v>
      </c>
      <c r="E54" s="267"/>
      <c r="F54" s="267"/>
      <c r="G54" s="268"/>
    </row>
    <row r="55" spans="1:9" ht="58" x14ac:dyDescent="0.35">
      <c r="B55" s="23" t="s">
        <v>105</v>
      </c>
      <c r="C55" s="26" t="s">
        <v>117</v>
      </c>
      <c r="D55" s="137" t="s">
        <v>27</v>
      </c>
      <c r="E55" s="13" t="s">
        <v>49</v>
      </c>
      <c r="F55" s="13" t="s">
        <v>81</v>
      </c>
      <c r="G55" s="9" t="s">
        <v>17</v>
      </c>
    </row>
    <row r="56" spans="1:9" x14ac:dyDescent="0.35">
      <c r="B56" s="24" t="s">
        <v>133</v>
      </c>
      <c r="C56" s="114">
        <f>'SCEN 950 gpd Year'!E61</f>
        <v>2</v>
      </c>
      <c r="D56" s="127">
        <f>'SCEN 950 gpd Year'!F61</f>
        <v>3.6967266245341107E-2</v>
      </c>
      <c r="E56" s="118">
        <f>'SCEN 950 gpd Year'!G61</f>
        <v>0.52587080644988404</v>
      </c>
      <c r="F56" s="129">
        <f>'SCEN 950 gpd Year'!H61</f>
        <v>1.4069965577014676</v>
      </c>
      <c r="G56" s="132">
        <f>'SCEN 950 gpd Year'!I61</f>
        <v>1.4439638239468087</v>
      </c>
    </row>
    <row r="57" spans="1:9" x14ac:dyDescent="0.35">
      <c r="B57" s="24" t="s">
        <v>134</v>
      </c>
      <c r="C57" s="114">
        <f>'SCEN 950 gpd Year'!E62</f>
        <v>5</v>
      </c>
      <c r="D57" s="127">
        <f>'SCEN 950 gpd Year'!F62</f>
        <v>9.2418165613352768E-2</v>
      </c>
      <c r="E57" s="118">
        <f>'SCEN 950 gpd Year'!G62</f>
        <v>0.55892342069708723</v>
      </c>
      <c r="F57" s="129">
        <f>'SCEN 950 gpd Year'!H62</f>
        <v>3.517491394253669</v>
      </c>
      <c r="G57" s="132">
        <f>'SCEN 950 gpd Year'!I62</f>
        <v>3.6099095598670217</v>
      </c>
    </row>
    <row r="58" spans="1:9" x14ac:dyDescent="0.35">
      <c r="B58" s="24" t="s">
        <v>135</v>
      </c>
      <c r="C58" s="114">
        <f>'SCEN 950 gpd Year'!E63</f>
        <v>118</v>
      </c>
      <c r="D58" s="127">
        <f>'SCEN 950 gpd Year'!F63</f>
        <v>2.1810687084751255</v>
      </c>
      <c r="E58" s="118">
        <f>'SCEN 950 gpd Year'!G63</f>
        <v>0.57558950087787319</v>
      </c>
      <c r="F58" s="129">
        <f>'SCEN 950 gpd Year'!H63</f>
        <v>83.012796904386605</v>
      </c>
      <c r="G58" s="132">
        <f>'SCEN 950 gpd Year'!I63</f>
        <v>85.193865612861728</v>
      </c>
    </row>
    <row r="59" spans="1:9" x14ac:dyDescent="0.35">
      <c r="B59" s="24" t="s">
        <v>136</v>
      </c>
      <c r="C59" s="114">
        <f>'SCEN 950 gpd Year'!E64</f>
        <v>8</v>
      </c>
      <c r="D59" s="127">
        <f>'SCEN 950 gpd Year'!F64</f>
        <v>0.1467936535996818</v>
      </c>
      <c r="E59" s="118">
        <f>'SCEN 950 gpd Year'!G64</f>
        <v>0.50454831413842671</v>
      </c>
      <c r="F59" s="129">
        <f>'SCEN 950 gpd Year'!H64</f>
        <v>5.6365895218593316</v>
      </c>
      <c r="G59" s="132">
        <f>'SCEN 950 gpd Year'!I64</f>
        <v>5.7833831754590133</v>
      </c>
    </row>
    <row r="60" spans="1:9" x14ac:dyDescent="0.35">
      <c r="B60" s="24" t="s">
        <v>137</v>
      </c>
      <c r="C60" s="114">
        <f>'SCEN 950 gpd Year'!E65</f>
        <v>234</v>
      </c>
      <c r="D60" s="127">
        <f>'SCEN 950 gpd Year'!F65</f>
        <v>4.3066112387855213</v>
      </c>
      <c r="E60" s="118">
        <f>'SCEN 950 gpd Year'!G65</f>
        <v>0.54896006099214645</v>
      </c>
      <c r="F60" s="129">
        <f>'SCEN 950 gpd Year'!H65</f>
        <v>164.76706854642683</v>
      </c>
      <c r="G60" s="132">
        <f>'SCEN 950 gpd Year'!I65</f>
        <v>169.07367978521233</v>
      </c>
    </row>
    <row r="61" spans="1:9" x14ac:dyDescent="0.35">
      <c r="B61" s="24" t="s">
        <v>138</v>
      </c>
      <c r="C61" s="114">
        <f>'SCEN 950 gpd Year'!E66</f>
        <v>4</v>
      </c>
      <c r="D61" s="127">
        <f>'SCEN 950 gpd Year'!F66</f>
        <v>7.33968267998409E-2</v>
      </c>
      <c r="E61" s="118">
        <f>'SCEN 950 gpd Year'!G66</f>
        <v>0.46708627077870862</v>
      </c>
      <c r="F61" s="129">
        <f>'SCEN 950 gpd Year'!H66</f>
        <v>2.8182947609296658</v>
      </c>
      <c r="G61" s="132">
        <f>'SCEN 950 gpd Year'!I66</f>
        <v>2.8916915877295066</v>
      </c>
    </row>
    <row r="62" spans="1:9" x14ac:dyDescent="0.35">
      <c r="B62" s="24" t="s">
        <v>139</v>
      </c>
      <c r="C62" s="114">
        <f>'SCEN 950 gpd Year'!E67</f>
        <v>15</v>
      </c>
      <c r="D62" s="127">
        <f>'SCEN 950 gpd Year'!F67</f>
        <v>0.27523810049940339</v>
      </c>
      <c r="E62" s="118">
        <f>'SCEN 950 gpd Year'!G67</f>
        <v>0.48628552239967393</v>
      </c>
      <c r="F62" s="129">
        <f>'SCEN 950 gpd Year'!H67</f>
        <v>10.568605353486246</v>
      </c>
      <c r="G62" s="132">
        <f>'SCEN 950 gpd Year'!I67</f>
        <v>10.843843453985651</v>
      </c>
      <c r="H62" s="111"/>
    </row>
    <row r="63" spans="1:9" x14ac:dyDescent="0.35">
      <c r="B63" s="24" t="s">
        <v>140</v>
      </c>
      <c r="C63" s="114">
        <f>'SCEN 950 gpd Year'!E68</f>
        <v>6</v>
      </c>
      <c r="D63" s="127">
        <f>'SCEN 950 gpd Year'!F68</f>
        <v>0.11009524019976134</v>
      </c>
      <c r="E63" s="118">
        <f>'SCEN 950 gpd Year'!G68</f>
        <v>0.51039626626623857</v>
      </c>
      <c r="F63" s="129">
        <f>'SCEN 950 gpd Year'!H68</f>
        <v>4.2274421413944987</v>
      </c>
      <c r="G63" s="132">
        <f>'SCEN 950 gpd Year'!I68</f>
        <v>4.3375373815942604</v>
      </c>
      <c r="H63" s="111"/>
    </row>
    <row r="64" spans="1:9" x14ac:dyDescent="0.35">
      <c r="B64" s="24" t="s">
        <v>141</v>
      </c>
      <c r="C64" s="114">
        <f>'SCEN 950 gpd Year'!E69</f>
        <v>235</v>
      </c>
      <c r="D64" s="127">
        <f>'SCEN 950 gpd Year'!F69</f>
        <v>4.3120635744906526</v>
      </c>
      <c r="E64" s="118">
        <f>'SCEN 950 gpd Year'!G69</f>
        <v>0.53484844906306916</v>
      </c>
      <c r="F64" s="129">
        <f>'SCEN 950 gpd Year'!H69</f>
        <v>165.57481720461786</v>
      </c>
      <c r="G64" s="132">
        <f>'SCEN 950 gpd Year'!I69</f>
        <v>169.88688077910851</v>
      </c>
      <c r="H64" s="111"/>
    </row>
    <row r="65" spans="1:8" ht="15" thickBot="1" x14ac:dyDescent="0.4">
      <c r="B65" s="25" t="s">
        <v>142</v>
      </c>
      <c r="C65" s="116">
        <f>'SCEN 950 gpd Year'!E70</f>
        <v>340</v>
      </c>
      <c r="D65" s="128">
        <f>'SCEN 950 gpd Year'!F70</f>
        <v>6.2387302779864759</v>
      </c>
      <c r="E65" s="125">
        <f>'SCEN 950 gpd Year'!G70</f>
        <v>0.50713077511930171</v>
      </c>
      <c r="F65" s="130">
        <f>'SCEN 950 gpd Year'!H70</f>
        <v>239.55505467902159</v>
      </c>
      <c r="G65" s="131">
        <f>'SCEN 950 gpd Year'!I70</f>
        <v>245.79378495700806</v>
      </c>
      <c r="H65" s="110"/>
    </row>
    <row r="66" spans="1:8" ht="15" thickBot="1" x14ac:dyDescent="0.4">
      <c r="B66" s="169" t="s">
        <v>145</v>
      </c>
      <c r="C66" s="221">
        <f>SUM(C56:C65)</f>
        <v>967</v>
      </c>
      <c r="D66" s="222">
        <f>SUM(D56:D65)</f>
        <v>17.773383052695156</v>
      </c>
      <c r="E66" s="223">
        <f>AVERAGE(E56:E65)</f>
        <v>0.52196393867824098</v>
      </c>
      <c r="F66" s="224">
        <f>SUM(F56:F65)</f>
        <v>681.08515706407775</v>
      </c>
      <c r="G66" s="225">
        <f>SUM(G56:G65)</f>
        <v>698.85854011677282</v>
      </c>
    </row>
    <row r="67" spans="1:8" ht="15" thickBot="1" x14ac:dyDescent="0.4">
      <c r="B67" s="151"/>
      <c r="C67" s="152"/>
      <c r="D67" s="168"/>
      <c r="E67" s="176"/>
      <c r="F67" s="168"/>
      <c r="G67" s="168"/>
    </row>
    <row r="68" spans="1:8" ht="15" thickBot="1" x14ac:dyDescent="0.4">
      <c r="B68" s="170" t="s">
        <v>146</v>
      </c>
      <c r="C68" s="171">
        <f>'SCEN 950 gpd Year'!E72</f>
        <v>0</v>
      </c>
      <c r="D68" s="172">
        <f>'SCEN 950 gpd Year'!F72</f>
        <v>0</v>
      </c>
      <c r="E68" s="173">
        <f>'SCEN 950 gpd Year'!G72</f>
        <v>0</v>
      </c>
      <c r="F68" s="174" t="e">
        <f>'SCEN 950 gpd Year'!H72</f>
        <v>#DIV/0!</v>
      </c>
      <c r="G68" s="175" t="e">
        <f>'SCEN 950 gpd Year'!I72</f>
        <v>#DIV/0!</v>
      </c>
    </row>
    <row r="69" spans="1:8" ht="15" thickBot="1" x14ac:dyDescent="0.4"/>
    <row r="70" spans="1:8" ht="15" thickBot="1" x14ac:dyDescent="0.4">
      <c r="A70" s="108" t="s">
        <v>115</v>
      </c>
      <c r="D70" s="266" t="s">
        <v>149</v>
      </c>
      <c r="E70" s="267"/>
      <c r="F70" s="267"/>
      <c r="G70" s="268"/>
    </row>
    <row r="71" spans="1:8" ht="58" x14ac:dyDescent="0.35">
      <c r="B71" s="23" t="s">
        <v>105</v>
      </c>
      <c r="C71" s="26" t="s">
        <v>117</v>
      </c>
      <c r="D71" s="137" t="s">
        <v>27</v>
      </c>
      <c r="E71" s="13" t="s">
        <v>49</v>
      </c>
      <c r="F71" s="13" t="s">
        <v>81</v>
      </c>
      <c r="G71" s="9" t="s">
        <v>17</v>
      </c>
    </row>
    <row r="72" spans="1:8" x14ac:dyDescent="0.35">
      <c r="B72" s="24" t="s">
        <v>133</v>
      </c>
      <c r="C72" s="114">
        <f>'SCEN SnoPUD Year'!E61</f>
        <v>0</v>
      </c>
      <c r="D72" s="127">
        <f>'SCEN SnoPUD Year'!F61</f>
        <v>0</v>
      </c>
      <c r="E72" s="118">
        <f>'SCEN SnoPUD Year'!G61</f>
        <v>0</v>
      </c>
      <c r="F72" s="129" t="e">
        <f>'SCEN SnoPUD Year'!H61</f>
        <v>#DIV/0!</v>
      </c>
      <c r="G72" s="132" t="e">
        <f>'SCEN SnoPUD Year'!I61</f>
        <v>#DIV/0!</v>
      </c>
    </row>
    <row r="73" spans="1:8" x14ac:dyDescent="0.35">
      <c r="B73" s="24" t="s">
        <v>134</v>
      </c>
      <c r="C73" s="114">
        <f>'SCEN SnoPUD Year'!E62</f>
        <v>0</v>
      </c>
      <c r="D73" s="127">
        <f>'SCEN SnoPUD Year'!F62</f>
        <v>0</v>
      </c>
      <c r="E73" s="118">
        <f>'SCEN SnoPUD Year'!G62</f>
        <v>0</v>
      </c>
      <c r="F73" s="129" t="e">
        <f>'SCEN SnoPUD Year'!H62</f>
        <v>#DIV/0!</v>
      </c>
      <c r="G73" s="132" t="e">
        <f>'SCEN SnoPUD Year'!I62</f>
        <v>#DIV/0!</v>
      </c>
    </row>
    <row r="74" spans="1:8" x14ac:dyDescent="0.35">
      <c r="B74" s="24" t="s">
        <v>135</v>
      </c>
      <c r="C74" s="114">
        <f>'SCEN SnoPUD Year'!E63</f>
        <v>0</v>
      </c>
      <c r="D74" s="127">
        <f>'SCEN SnoPUD Year'!F63</f>
        <v>0</v>
      </c>
      <c r="E74" s="118">
        <f>'SCEN SnoPUD Year'!G63</f>
        <v>0</v>
      </c>
      <c r="F74" s="129" t="e">
        <f>'SCEN SnoPUD Year'!H63</f>
        <v>#DIV/0!</v>
      </c>
      <c r="G74" s="132" t="e">
        <f>'SCEN SnoPUD Year'!I63</f>
        <v>#DIV/0!</v>
      </c>
    </row>
    <row r="75" spans="1:8" x14ac:dyDescent="0.35">
      <c r="B75" s="24" t="s">
        <v>136</v>
      </c>
      <c r="C75" s="114">
        <f>'SCEN SnoPUD Year'!E64</f>
        <v>0</v>
      </c>
      <c r="D75" s="127">
        <f>'SCEN SnoPUD Year'!F64</f>
        <v>0</v>
      </c>
      <c r="E75" s="118">
        <f>'SCEN SnoPUD Year'!G64</f>
        <v>0</v>
      </c>
      <c r="F75" s="129" t="e">
        <f>'SCEN SnoPUD Year'!H64</f>
        <v>#DIV/0!</v>
      </c>
      <c r="G75" s="132" t="e">
        <f>'SCEN SnoPUD Year'!I64</f>
        <v>#DIV/0!</v>
      </c>
    </row>
    <row r="76" spans="1:8" x14ac:dyDescent="0.35">
      <c r="B76" s="24" t="s">
        <v>137</v>
      </c>
      <c r="C76" s="114">
        <f>'SCEN SnoPUD Year'!E65</f>
        <v>0</v>
      </c>
      <c r="D76" s="127">
        <f>'SCEN SnoPUD Year'!F65</f>
        <v>0</v>
      </c>
      <c r="E76" s="118">
        <f>'SCEN SnoPUD Year'!G65</f>
        <v>0</v>
      </c>
      <c r="F76" s="129" t="e">
        <f>'SCEN SnoPUD Year'!H65</f>
        <v>#DIV/0!</v>
      </c>
      <c r="G76" s="132" t="e">
        <f>'SCEN SnoPUD Year'!I65</f>
        <v>#DIV/0!</v>
      </c>
    </row>
    <row r="77" spans="1:8" x14ac:dyDescent="0.35">
      <c r="B77" s="24" t="s">
        <v>138</v>
      </c>
      <c r="C77" s="114">
        <f>'SCEN SnoPUD Year'!E66</f>
        <v>0</v>
      </c>
      <c r="D77" s="127">
        <f>'SCEN SnoPUD Year'!F66</f>
        <v>0</v>
      </c>
      <c r="E77" s="118">
        <f>'SCEN SnoPUD Year'!G66</f>
        <v>0</v>
      </c>
      <c r="F77" s="129" t="e">
        <f>'SCEN SnoPUD Year'!H66</f>
        <v>#DIV/0!</v>
      </c>
      <c r="G77" s="132" t="e">
        <f>'SCEN SnoPUD Year'!I66</f>
        <v>#DIV/0!</v>
      </c>
    </row>
    <row r="78" spans="1:8" x14ac:dyDescent="0.35">
      <c r="B78" s="24" t="s">
        <v>139</v>
      </c>
      <c r="C78" s="114">
        <f>'SCEN SnoPUD Year'!E67</f>
        <v>0</v>
      </c>
      <c r="D78" s="127">
        <f>'SCEN SnoPUD Year'!F67</f>
        <v>0</v>
      </c>
      <c r="E78" s="118">
        <f>'SCEN SnoPUD Year'!G67</f>
        <v>0</v>
      </c>
      <c r="F78" s="129" t="e">
        <f>'SCEN SnoPUD Year'!H67</f>
        <v>#DIV/0!</v>
      </c>
      <c r="G78" s="132" t="e">
        <f>'SCEN SnoPUD Year'!I67</f>
        <v>#DIV/0!</v>
      </c>
    </row>
    <row r="79" spans="1:8" x14ac:dyDescent="0.35">
      <c r="B79" s="24" t="s">
        <v>140</v>
      </c>
      <c r="C79" s="114">
        <f>'SCEN SnoPUD Year'!E68</f>
        <v>0</v>
      </c>
      <c r="D79" s="127">
        <f>'SCEN SnoPUD Year'!F68</f>
        <v>0</v>
      </c>
      <c r="E79" s="118">
        <f>'SCEN SnoPUD Year'!G68</f>
        <v>0</v>
      </c>
      <c r="F79" s="129" t="e">
        <f>'SCEN SnoPUD Year'!H68</f>
        <v>#DIV/0!</v>
      </c>
      <c r="G79" s="132" t="e">
        <f>'SCEN SnoPUD Year'!I68</f>
        <v>#DIV/0!</v>
      </c>
    </row>
    <row r="80" spans="1:8" x14ac:dyDescent="0.35">
      <c r="B80" s="24" t="s">
        <v>141</v>
      </c>
      <c r="C80" s="114">
        <f>'SCEN SnoPUD Year'!E69</f>
        <v>0</v>
      </c>
      <c r="D80" s="127">
        <f>'SCEN SnoPUD Year'!F69</f>
        <v>0</v>
      </c>
      <c r="E80" s="118">
        <f>'SCEN SnoPUD Year'!G69</f>
        <v>0</v>
      </c>
      <c r="F80" s="129" t="e">
        <f>'SCEN SnoPUD Year'!H69</f>
        <v>#DIV/0!</v>
      </c>
      <c r="G80" s="132" t="e">
        <f>'SCEN SnoPUD Year'!I69</f>
        <v>#DIV/0!</v>
      </c>
    </row>
    <row r="81" spans="2:7" ht="15" thickBot="1" x14ac:dyDescent="0.4">
      <c r="B81" s="25" t="s">
        <v>142</v>
      </c>
      <c r="C81" s="116">
        <f>'SCEN SnoPUD Year'!E70</f>
        <v>0</v>
      </c>
      <c r="D81" s="128">
        <f>'SCEN SnoPUD Year'!F70</f>
        <v>0</v>
      </c>
      <c r="E81" s="125">
        <f>'SCEN SnoPUD Year'!G70</f>
        <v>0</v>
      </c>
      <c r="F81" s="130" t="e">
        <f>'SCEN SnoPUD Year'!H70</f>
        <v>#DIV/0!</v>
      </c>
      <c r="G81" s="131" t="e">
        <f>'SCEN SnoPUD Year'!I70</f>
        <v>#DIV/0!</v>
      </c>
    </row>
    <row r="82" spans="2:7" ht="15" thickBot="1" x14ac:dyDescent="0.4">
      <c r="B82" s="169" t="s">
        <v>145</v>
      </c>
      <c r="C82" s="221">
        <f>SUM(C72:C81)</f>
        <v>0</v>
      </c>
      <c r="D82" s="222">
        <f>SUM(D72:D81)</f>
        <v>0</v>
      </c>
      <c r="E82" s="223">
        <f>AVERAGE(E72:E81)</f>
        <v>0</v>
      </c>
      <c r="F82" s="224" t="e">
        <f>SUM(F72:F81)</f>
        <v>#DIV/0!</v>
      </c>
      <c r="G82" s="225" t="e">
        <f>SUM(G72:G81)</f>
        <v>#DIV/0!</v>
      </c>
    </row>
    <row r="83" spans="2:7" ht="15" thickBot="1" x14ac:dyDescent="0.4">
      <c r="B83" s="151"/>
      <c r="C83" s="152"/>
      <c r="D83" s="168"/>
      <c r="E83" s="176"/>
      <c r="F83" s="168"/>
      <c r="G83" s="168"/>
    </row>
    <row r="84" spans="2:7" ht="15" thickBot="1" x14ac:dyDescent="0.4">
      <c r="B84" s="170" t="s">
        <v>146</v>
      </c>
      <c r="C84" s="171">
        <f>'SCEN SnoPUD Year'!E72</f>
        <v>967</v>
      </c>
      <c r="D84" s="172">
        <f>'SCEN SnoPUD Year'!F72</f>
        <v>18.335138974823586</v>
      </c>
      <c r="E84" s="173">
        <f>'SCEN SnoPUD Year'!G72</f>
        <v>4.3490123174100295E-2</v>
      </c>
      <c r="F84" s="174">
        <f>'SCEN SnoPUD Year'!H72</f>
        <v>56.970437726806225</v>
      </c>
      <c r="G84" s="175">
        <f>'SCEN SnoPUD Year'!I72</f>
        <v>75.305576701629803</v>
      </c>
    </row>
  </sheetData>
  <sheetProtection algorithmName="SHA-512" hashValue="GcbiJeQHjFllEZjeAd5aIvNFjYZ+QWBx8XulYBtZO8sE7j0bNh+iNNBwAJYKz28QqdTmpLrjRFGlkyobkbx2jw==" saltValue="+LIj9f3s+LNyKgSaLRVV8w==" spinCount="100000" sheet="1" objects="1" scenarios="1"/>
  <mergeCells count="9">
    <mergeCell ref="D5:G5"/>
    <mergeCell ref="D22:G22"/>
    <mergeCell ref="D70:G70"/>
    <mergeCell ref="K8:K12"/>
    <mergeCell ref="K13:K17"/>
    <mergeCell ref="K18:K22"/>
    <mergeCell ref="K23:K27"/>
    <mergeCell ref="D38:G38"/>
    <mergeCell ref="D54:G54"/>
  </mergeCells>
  <pageMargins left="0.7" right="0.7" top="0.75" bottom="0.75" header="0.3" footer="0.3"/>
  <pageSetup scale="67" orientation="portrait" horizontalDpi="1200" verticalDpi="1200" r:id="rId1"/>
  <colBreaks count="1" manualBreakCount="1">
    <brk id="9" min="3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84"/>
  <sheetViews>
    <sheetView topLeftCell="L1" zoomScaleNormal="100" workbookViewId="0">
      <selection activeCell="E84" sqref="E84"/>
    </sheetView>
  </sheetViews>
  <sheetFormatPr defaultColWidth="9.1796875" defaultRowHeight="14.5" x14ac:dyDescent="0.35"/>
  <cols>
    <col min="1" max="1" width="10.7265625" style="21" customWidth="1"/>
    <col min="2" max="2" width="24.453125" style="21" bestFit="1" customWidth="1"/>
    <col min="3" max="3" width="13.54296875" style="21" bestFit="1" customWidth="1"/>
    <col min="4" max="9" width="14.7265625" style="21" customWidth="1"/>
    <col min="10" max="10" width="9.1796875" style="21"/>
    <col min="11" max="11" width="15.7265625" style="21" customWidth="1"/>
    <col min="12" max="12" width="32.7265625" style="21" bestFit="1" customWidth="1"/>
    <col min="13" max="22" width="7.7265625" style="21" customWidth="1"/>
    <col min="23" max="23" width="9.1796875" style="21" bestFit="1" customWidth="1"/>
    <col min="24" max="16384" width="9.1796875" style="21"/>
  </cols>
  <sheetData>
    <row r="1" spans="1:24" x14ac:dyDescent="0.35">
      <c r="A1" s="133" t="s">
        <v>125</v>
      </c>
    </row>
    <row r="2" spans="1:24" x14ac:dyDescent="0.35">
      <c r="A2" s="133" t="s">
        <v>147</v>
      </c>
    </row>
    <row r="4" spans="1:24" ht="16" thickBot="1" x14ac:dyDescent="0.4">
      <c r="A4" s="2" t="s">
        <v>124</v>
      </c>
      <c r="K4" s="2" t="s">
        <v>93</v>
      </c>
    </row>
    <row r="5" spans="1:24" ht="15" customHeight="1" thickBot="1" x14ac:dyDescent="0.4">
      <c r="D5" s="263" t="s">
        <v>83</v>
      </c>
      <c r="E5" s="264"/>
      <c r="F5" s="264"/>
      <c r="G5" s="265"/>
      <c r="H5" s="103"/>
      <c r="I5" s="103"/>
      <c r="J5" s="103"/>
      <c r="K5" s="103"/>
      <c r="L5" s="103"/>
      <c r="M5" s="103"/>
      <c r="N5" s="103"/>
      <c r="O5" s="103"/>
    </row>
    <row r="6" spans="1:24" ht="95.5" x14ac:dyDescent="0.35">
      <c r="B6" s="23" t="s">
        <v>105</v>
      </c>
      <c r="C6" s="26" t="s">
        <v>117</v>
      </c>
      <c r="D6" s="137" t="s">
        <v>27</v>
      </c>
      <c r="E6" s="13" t="s">
        <v>49</v>
      </c>
      <c r="F6" s="13" t="s">
        <v>81</v>
      </c>
      <c r="G6" s="9" t="s">
        <v>17</v>
      </c>
      <c r="H6" s="104"/>
      <c r="I6" s="104"/>
      <c r="K6" s="103"/>
      <c r="L6" s="105"/>
      <c r="M6" s="70" t="s">
        <v>133</v>
      </c>
      <c r="N6" s="70" t="s">
        <v>134</v>
      </c>
      <c r="O6" s="70" t="s">
        <v>135</v>
      </c>
      <c r="P6" s="70" t="s">
        <v>136</v>
      </c>
      <c r="Q6" s="70" t="s">
        <v>137</v>
      </c>
      <c r="R6" s="70" t="s">
        <v>138</v>
      </c>
      <c r="S6" s="70" t="s">
        <v>139</v>
      </c>
      <c r="T6" s="70" t="s">
        <v>140</v>
      </c>
      <c r="U6" s="70" t="s">
        <v>141</v>
      </c>
      <c r="V6" s="70" t="s">
        <v>142</v>
      </c>
      <c r="W6" s="70" t="s">
        <v>145</v>
      </c>
      <c r="X6" s="70" t="s">
        <v>121</v>
      </c>
    </row>
    <row r="7" spans="1:24" ht="15" thickBot="1" x14ac:dyDescent="0.4">
      <c r="B7" s="24" t="s">
        <v>133</v>
      </c>
      <c r="C7" s="114">
        <f>'CALC Variable Supply-Summer'!E44</f>
        <v>2</v>
      </c>
      <c r="D7" s="233">
        <f>'CALC Variable Supply-Summer'!F44</f>
        <v>9.3177766974558394E-3</v>
      </c>
      <c r="E7" s="118">
        <f>'CALC Variable Supply-Summer'!G44</f>
        <v>0.28000000000000003</v>
      </c>
      <c r="F7" s="235">
        <f>'CALC Variable Supply-Summer'!H44</f>
        <v>0.59683555555555556</v>
      </c>
      <c r="G7" s="132">
        <f>'CALC Variable Supply-Summer'!I44</f>
        <v>0.60615333225301138</v>
      </c>
      <c r="H7" s="106"/>
      <c r="K7" s="107"/>
      <c r="L7" s="41" t="s">
        <v>120</v>
      </c>
      <c r="M7" s="42">
        <v>2</v>
      </c>
      <c r="N7" s="42">
        <v>5</v>
      </c>
      <c r="O7" s="42">
        <v>118</v>
      </c>
      <c r="P7" s="42">
        <v>8</v>
      </c>
      <c r="Q7" s="42">
        <v>234</v>
      </c>
      <c r="R7" s="42">
        <v>4</v>
      </c>
      <c r="S7" s="42">
        <v>15</v>
      </c>
      <c r="T7" s="42">
        <v>6</v>
      </c>
      <c r="U7" s="77">
        <v>235</v>
      </c>
      <c r="V7" s="77">
        <v>340</v>
      </c>
      <c r="W7" s="78">
        <v>967</v>
      </c>
      <c r="X7" s="78">
        <v>967</v>
      </c>
    </row>
    <row r="8" spans="1:24" ht="15" customHeight="1" x14ac:dyDescent="0.35">
      <c r="B8" s="24" t="s">
        <v>134</v>
      </c>
      <c r="C8" s="114">
        <f>'CALC Variable Supply-Summer'!E45</f>
        <v>5</v>
      </c>
      <c r="D8" s="233">
        <f>'CALC Variable Supply-Summer'!F45</f>
        <v>2.32944417436396E-2</v>
      </c>
      <c r="E8" s="118">
        <f>'CALC Variable Supply-Summer'!G45</f>
        <v>0.28000000000000003</v>
      </c>
      <c r="F8" s="235">
        <f>'CALC Variable Supply-Summer'!H45</f>
        <v>1.4236444444444443</v>
      </c>
      <c r="G8" s="132">
        <f>'CALC Variable Supply-Summer'!I45</f>
        <v>1.4469388861880839</v>
      </c>
      <c r="H8" s="106"/>
      <c r="K8" s="269" t="s">
        <v>17</v>
      </c>
      <c r="L8" s="43" t="str">
        <f>D22</f>
        <v>1 home + subbasin average yard</v>
      </c>
      <c r="M8" s="71">
        <f>IF(ISNUMBER(G24),G24,"")</f>
        <v>0.60615333225301138</v>
      </c>
      <c r="N8" s="71">
        <f>IF(ISNUMBER(G25),G25,"")</f>
        <v>1.4469388861880839</v>
      </c>
      <c r="O8" s="71">
        <f>IF(ISNUMBER(G26),G26,"")</f>
        <v>33.501642158483243</v>
      </c>
      <c r="P8" s="71">
        <f>IF(ISNUMBER(G27),G27,"")</f>
        <v>2.5159333775283219</v>
      </c>
      <c r="Q8" s="71">
        <f>IF(ISNUMBER(G28),G28,"")</f>
        <v>76.527102010871971</v>
      </c>
      <c r="R8" s="71">
        <f>IF(ISNUMBER(G29),G29,"")</f>
        <v>1.3346244665419391</v>
      </c>
      <c r="S8" s="71">
        <f>IF(ISNUMBER(G30),G30,"")</f>
        <v>5.7365750828656044</v>
      </c>
      <c r="T8" s="71">
        <f>IF(ISNUMBER(G31),G31,"")</f>
        <v>2.0828433664795747</v>
      </c>
      <c r="U8" s="210">
        <f>IF(ISNUMBER(G32),G32,"")</f>
        <v>94.219987409338898</v>
      </c>
      <c r="V8" s="72">
        <f>IF(ISNUMBER(G33),G33,"")</f>
        <v>126.33890187828702</v>
      </c>
      <c r="W8" s="72">
        <f t="shared" ref="W8:W11" si="0">IF(SUM(M8:V8)&gt;0,SUM(M8:V8),"")</f>
        <v>344.31070196883763</v>
      </c>
      <c r="X8" s="72" t="str">
        <f>IF(ISNUMBER(G36),G36,"")</f>
        <v/>
      </c>
    </row>
    <row r="9" spans="1:24" x14ac:dyDescent="0.35">
      <c r="B9" s="24" t="s">
        <v>135</v>
      </c>
      <c r="C9" s="114">
        <f>'CALC Variable Supply-Summer'!E46</f>
        <v>118</v>
      </c>
      <c r="D9" s="233">
        <f>'CALC Variable Supply-Summer'!F46</f>
        <v>0.54974882514989454</v>
      </c>
      <c r="E9" s="118">
        <f>'CALC Variable Supply-Summer'!G46</f>
        <v>0.28000000000000003</v>
      </c>
      <c r="F9" s="235">
        <f>'CALC Variable Supply-Summer'!H46</f>
        <v>32.951893333333345</v>
      </c>
      <c r="G9" s="132">
        <f>'CALC Variable Supply-Summer'!I46</f>
        <v>33.501642158483243</v>
      </c>
      <c r="H9" s="106"/>
      <c r="K9" s="270"/>
      <c r="L9" s="3" t="str">
        <f>D38</f>
        <v>1 home + 1/2 acre yard</v>
      </c>
      <c r="M9" s="73">
        <f>IF(ISNUMBER(G40),G40,"")</f>
        <v>1.0750955544752336</v>
      </c>
      <c r="N9" s="73">
        <f>IF(ISNUMBER(G41),G41,"")</f>
        <v>2.5655166639658615</v>
      </c>
      <c r="O9" s="73">
        <f>IF(ISNUMBER(G42),G42,"")</f>
        <v>59.392415491816578</v>
      </c>
      <c r="P9" s="73">
        <f>IF(ISNUMBER(G43),G43,"")</f>
        <v>4.4636667108616548</v>
      </c>
      <c r="Q9" s="73">
        <f>IF(ISNUMBER(G44),G44,"")</f>
        <v>122.76550201087197</v>
      </c>
      <c r="R9" s="73">
        <f>IF(ISNUMBER(G45),G45,"")</f>
        <v>2.3687222443197169</v>
      </c>
      <c r="S9" s="73">
        <f>IF(ISNUMBER(G46),G46,"")</f>
        <v>8.656041749532271</v>
      </c>
      <c r="T9" s="73">
        <f>IF(ISNUMBER(G47),G47,"")</f>
        <v>3.3424166998129081</v>
      </c>
      <c r="U9" s="211">
        <f>IF(ISNUMBER(G48),G48,"")</f>
        <v>126.94243185378333</v>
      </c>
      <c r="V9" s="74">
        <f>IF(ISNUMBER(G49),G49,"")</f>
        <v>190.61250187828702</v>
      </c>
      <c r="W9" s="74">
        <f t="shared" si="0"/>
        <v>522.18431085772659</v>
      </c>
      <c r="X9" s="74" t="str">
        <f>IF(ISNUMBER(G52),G52,"")</f>
        <v/>
      </c>
    </row>
    <row r="10" spans="1:24" x14ac:dyDescent="0.35">
      <c r="B10" s="24" t="s">
        <v>136</v>
      </c>
      <c r="C10" s="114">
        <f>'CALC Variable Supply-Summer'!E47</f>
        <v>8</v>
      </c>
      <c r="D10" s="233">
        <f>'CALC Variable Supply-Summer'!F47</f>
        <v>3.7000044194988285E-2</v>
      </c>
      <c r="E10" s="118">
        <f>'CALC Variable Supply-Summer'!G47</f>
        <v>0.28000000000000003</v>
      </c>
      <c r="F10" s="235">
        <f>'CALC Variable Supply-Summer'!H47</f>
        <v>2.4789333333333334</v>
      </c>
      <c r="G10" s="132">
        <f>'CALC Variable Supply-Summer'!I47</f>
        <v>2.5159333775283219</v>
      </c>
      <c r="H10" s="106"/>
      <c r="K10" s="270"/>
      <c r="L10" s="3" t="str">
        <f>D54</f>
        <v>950 gpd</v>
      </c>
      <c r="M10" s="73">
        <f>IF(ISNUMBER(G56),G56,"")</f>
        <v>0.36395800494001751</v>
      </c>
      <c r="N10" s="73">
        <f>IF(ISNUMBER(G57),G57,"")</f>
        <v>0.909895012350044</v>
      </c>
      <c r="O10" s="73">
        <f>IF(ISNUMBER(G58),G58,"")</f>
        <v>21.473522291461034</v>
      </c>
      <c r="P10" s="73">
        <f>IF(ISNUMBER(G59),G59,"")</f>
        <v>1.4577294579239157</v>
      </c>
      <c r="Q10" s="73">
        <f>IF(ISNUMBER(G60),G60,"")</f>
        <v>42.615831617094614</v>
      </c>
      <c r="R10" s="73">
        <f>IF(ISNUMBER(G61),G61,"")</f>
        <v>0.72886472896195775</v>
      </c>
      <c r="S10" s="73">
        <f>IF(ISNUMBER(G62),G62,"")</f>
        <v>2.7332427336073422</v>
      </c>
      <c r="T10" s="73">
        <f>IF(ISNUMBER(G63),G63,"")</f>
        <v>1.0932970934429369</v>
      </c>
      <c r="U10" s="211">
        <f>IF(ISNUMBER(G64),G64,"")</f>
        <v>42.82080282651502</v>
      </c>
      <c r="V10" s="74">
        <f>IF(ISNUMBER(G65),G65,"")</f>
        <v>61.95350196176642</v>
      </c>
      <c r="W10" s="74">
        <f t="shared" si="0"/>
        <v>176.1506457280633</v>
      </c>
      <c r="X10" s="74" t="str">
        <f>IF(ISNUMBER(G68),G68,"")</f>
        <v/>
      </c>
    </row>
    <row r="11" spans="1:24" x14ac:dyDescent="0.35">
      <c r="B11" s="24" t="s">
        <v>137</v>
      </c>
      <c r="C11" s="114">
        <f>'CALC Variable Supply-Summer'!E48</f>
        <v>234</v>
      </c>
      <c r="D11" s="233">
        <f>'CALC Variable Supply-Summer'!F48</f>
        <v>1.0855020108719671</v>
      </c>
      <c r="E11" s="118">
        <f>'CALC Variable Supply-Summer'!G48</f>
        <v>0.31</v>
      </c>
      <c r="F11" s="235">
        <f>'CALC Variable Supply-Summer'!H48</f>
        <v>75.441600000000008</v>
      </c>
      <c r="G11" s="132">
        <f>'CALC Variable Supply-Summer'!I48</f>
        <v>76.527102010871971</v>
      </c>
      <c r="H11" s="106"/>
      <c r="J11" s="1"/>
      <c r="K11" s="270"/>
      <c r="L11" s="140" t="str">
        <f>D70</f>
        <v>Snohomish PUD Use (370 gpd)</v>
      </c>
      <c r="M11" s="144" t="str">
        <f>IF(ISNUMBER(G72),G72,"")</f>
        <v/>
      </c>
      <c r="N11" s="144" t="str">
        <f>IF(ISNUMBER(G73),G73,"")</f>
        <v/>
      </c>
      <c r="O11" s="144" t="str">
        <f>IF(ISNUMBER(G74),G74,"")</f>
        <v/>
      </c>
      <c r="P11" s="144" t="str">
        <f>IF(ISNUMBER(G75),G75,"")</f>
        <v/>
      </c>
      <c r="Q11" s="144" t="str">
        <f>IF(ISNUMBER(G76),G76,"")</f>
        <v/>
      </c>
      <c r="R11" s="144" t="str">
        <f>IF(ISNUMBER(G77),G77,"")</f>
        <v/>
      </c>
      <c r="S11" s="144" t="str">
        <f>IF(ISNUMBER(G78),G78,"")</f>
        <v/>
      </c>
      <c r="T11" s="144" t="str">
        <f>IF(ISNUMBER(G79),G79,"")</f>
        <v/>
      </c>
      <c r="U11" s="212" t="str">
        <f>IF(ISNUMBER(G80),G80,"")</f>
        <v/>
      </c>
      <c r="V11" s="145" t="str">
        <f>IF(ISNUMBER(G81),G81,"")</f>
        <v/>
      </c>
      <c r="W11" s="145" t="str">
        <f t="shared" si="0"/>
        <v/>
      </c>
      <c r="X11" s="145">
        <f>IF(ISNUMBER(G84),G84,"")</f>
        <v>48.469353697401829</v>
      </c>
    </row>
    <row r="12" spans="1:24" ht="15" customHeight="1" thickBot="1" x14ac:dyDescent="0.4">
      <c r="B12" s="24" t="s">
        <v>138</v>
      </c>
      <c r="C12" s="114">
        <f>'CALC Variable Supply-Summer'!E49</f>
        <v>4</v>
      </c>
      <c r="D12" s="233">
        <f>'CALC Variable Supply-Summer'!F49</f>
        <v>1.8500022097494143E-2</v>
      </c>
      <c r="E12" s="118">
        <f>'CALC Variable Supply-Summer'!G49</f>
        <v>0.28000000000000003</v>
      </c>
      <c r="F12" s="235">
        <f>'CALC Variable Supply-Summer'!H49</f>
        <v>1.3161244444444449</v>
      </c>
      <c r="G12" s="132">
        <f>'CALC Variable Supply-Summer'!I49</f>
        <v>1.3346244665419391</v>
      </c>
      <c r="H12" s="106"/>
      <c r="K12" s="271"/>
      <c r="L12" s="44" t="str">
        <f>D5</f>
        <v>Active Scenario - Variable Supply</v>
      </c>
      <c r="M12" s="75">
        <f>IF(ISNUMBER(G7),G7,"")</f>
        <v>0.60615333225301138</v>
      </c>
      <c r="N12" s="75">
        <f>IF(ISNUMBER(G8),G8,"")</f>
        <v>1.4469388861880839</v>
      </c>
      <c r="O12" s="75">
        <f>IF(ISNUMBER(G9),G9,"")</f>
        <v>33.501642158483243</v>
      </c>
      <c r="P12" s="75">
        <f>IF(ISNUMBER(G10),G10,"")</f>
        <v>2.5159333775283219</v>
      </c>
      <c r="Q12" s="75">
        <f>IF(ISNUMBER(G11),G11,"")</f>
        <v>76.527102010871971</v>
      </c>
      <c r="R12" s="75">
        <f>IF(ISNUMBER(G12),G12,"")</f>
        <v>1.3346244665419391</v>
      </c>
      <c r="S12" s="75">
        <f>IF(ISNUMBER(G13),G13,"")</f>
        <v>4.0192417495322701</v>
      </c>
      <c r="T12" s="75">
        <f>IF(ISNUMBER(G14),G14,"")</f>
        <v>2.0828433664795747</v>
      </c>
      <c r="U12" s="213">
        <f>IF(ISNUMBER(G15),G15,"")</f>
        <v>94.219987409338898</v>
      </c>
      <c r="V12" s="76">
        <f>IF(ISNUMBER(G16),G16,"")</f>
        <v>126.33890187828702</v>
      </c>
      <c r="W12" s="76">
        <f>IF(SUM(M12:V12)&gt;0,SUM(M12:V12),"")</f>
        <v>342.59336863550431</v>
      </c>
      <c r="X12" s="76" t="str">
        <f>IF(ISNUMBER(G19),G19,"")</f>
        <v/>
      </c>
    </row>
    <row r="13" spans="1:24" ht="15" customHeight="1" x14ac:dyDescent="0.35">
      <c r="B13" s="24" t="s">
        <v>139</v>
      </c>
      <c r="C13" s="114">
        <f>'CALC Variable Supply-Summer'!E50</f>
        <v>15</v>
      </c>
      <c r="D13" s="233">
        <f>'CALC Variable Supply-Summer'!F50</f>
        <v>6.9375082865603038E-2</v>
      </c>
      <c r="E13" s="118">
        <f>'CALC Variable Supply-Summer'!G50</f>
        <v>0.23</v>
      </c>
      <c r="F13" s="235">
        <f>'CALC Variable Supply-Summer'!H50</f>
        <v>3.9498666666666673</v>
      </c>
      <c r="G13" s="132">
        <f>'CALC Variable Supply-Summer'!I50</f>
        <v>4.0192417495322701</v>
      </c>
      <c r="H13" s="106"/>
      <c r="K13" s="272" t="s">
        <v>46</v>
      </c>
      <c r="L13" s="43" t="str">
        <f t="shared" ref="L13:L22" si="1">L8</f>
        <v>1 home + subbasin average yard</v>
      </c>
      <c r="M13" s="243">
        <f t="shared" ref="M13:V15" si="2">M8*$L$31</f>
        <v>2146.7631833043483</v>
      </c>
      <c r="N13" s="243">
        <f t="shared" si="2"/>
        <v>5124.5039234782616</v>
      </c>
      <c r="O13" s="243">
        <f t="shared" si="2"/>
        <v>118649.9985057392</v>
      </c>
      <c r="P13" s="243">
        <f t="shared" si="2"/>
        <v>8910.4734052173935</v>
      </c>
      <c r="Q13" s="243">
        <f t="shared" si="2"/>
        <v>271029.71538782615</v>
      </c>
      <c r="R13" s="243">
        <f t="shared" si="2"/>
        <v>4726.7292215652205</v>
      </c>
      <c r="S13" s="243">
        <f t="shared" si="2"/>
        <v>20316.75408000001</v>
      </c>
      <c r="T13" s="243">
        <f t="shared" si="2"/>
        <v>7376.6342900869586</v>
      </c>
      <c r="U13" s="244">
        <f t="shared" si="2"/>
        <v>333691.14601739141</v>
      </c>
      <c r="V13" s="245">
        <f t="shared" si="2"/>
        <v>447444.05209043494</v>
      </c>
      <c r="W13" s="245">
        <f>IF(ISNUMBER(W8),W8*$L$31,"")</f>
        <v>1219416.7701050437</v>
      </c>
      <c r="X13" s="245" t="str">
        <f>IF(ISNUMBER(X8),X8*$L$31,"")</f>
        <v/>
      </c>
    </row>
    <row r="14" spans="1:24" x14ac:dyDescent="0.35">
      <c r="B14" s="24" t="s">
        <v>140</v>
      </c>
      <c r="C14" s="114">
        <f>'CALC Variable Supply-Summer'!E51</f>
        <v>6</v>
      </c>
      <c r="D14" s="233">
        <f>'CALC Variable Supply-Summer'!F51</f>
        <v>2.7750033146241214E-2</v>
      </c>
      <c r="E14" s="118">
        <f>'CALC Variable Supply-Summer'!G51</f>
        <v>0.31</v>
      </c>
      <c r="F14" s="235">
        <f>'CALC Variable Supply-Summer'!H51</f>
        <v>2.0550933333333337</v>
      </c>
      <c r="G14" s="132">
        <f>'CALC Variable Supply-Summer'!I51</f>
        <v>2.0828433664795747</v>
      </c>
      <c r="H14" s="106"/>
      <c r="K14" s="273"/>
      <c r="L14" s="3" t="str">
        <f t="shared" si="1"/>
        <v>1 home + 1/2 acre yard</v>
      </c>
      <c r="M14" s="246">
        <f t="shared" si="2"/>
        <v>3807.5771130434791</v>
      </c>
      <c r="N14" s="246">
        <f t="shared" si="2"/>
        <v>9086.0784347826102</v>
      </c>
      <c r="O14" s="246">
        <f t="shared" si="2"/>
        <v>210345.21161739141</v>
      </c>
      <c r="P14" s="246">
        <f t="shared" si="2"/>
        <v>15808.599652173916</v>
      </c>
      <c r="Q14" s="246">
        <f t="shared" si="2"/>
        <v>434788.43697391317</v>
      </c>
      <c r="R14" s="246">
        <f t="shared" si="2"/>
        <v>8389.1078956521778</v>
      </c>
      <c r="S14" s="246">
        <f t="shared" si="2"/>
        <v>30656.38800000001</v>
      </c>
      <c r="T14" s="246">
        <f t="shared" si="2"/>
        <v>11837.561113043481</v>
      </c>
      <c r="U14" s="247">
        <f t="shared" si="2"/>
        <v>449581.52434782614</v>
      </c>
      <c r="V14" s="248">
        <f t="shared" si="2"/>
        <v>675076.55165217409</v>
      </c>
      <c r="W14" s="248">
        <f t="shared" ref="W14:X17" si="3">IF(ISNUMBER(W9),W9*$L$31,"")</f>
        <v>1849377.0368000006</v>
      </c>
      <c r="X14" s="248" t="str">
        <f t="shared" si="3"/>
        <v/>
      </c>
    </row>
    <row r="15" spans="1:24" x14ac:dyDescent="0.35">
      <c r="B15" s="24" t="s">
        <v>141</v>
      </c>
      <c r="C15" s="114">
        <f>'CALC Variable Supply-Summer'!E52</f>
        <v>235</v>
      </c>
      <c r="D15" s="233">
        <f>'CALC Variable Supply-Summer'!F52</f>
        <v>1.0868762982277809</v>
      </c>
      <c r="E15" s="118">
        <f>'CALC Variable Supply-Summer'!G52</f>
        <v>0.37</v>
      </c>
      <c r="F15" s="235">
        <f>'CALC Variable Supply-Summer'!H52</f>
        <v>93.13311111111112</v>
      </c>
      <c r="G15" s="132">
        <f>'CALC Variable Supply-Summer'!I52</f>
        <v>94.219987409338898</v>
      </c>
      <c r="K15" s="273"/>
      <c r="L15" s="3" t="str">
        <f t="shared" si="1"/>
        <v>950 gpd</v>
      </c>
      <c r="M15" s="246">
        <f t="shared" si="2"/>
        <v>1289</v>
      </c>
      <c r="N15" s="246">
        <f t="shared" si="2"/>
        <v>3222.5000000000009</v>
      </c>
      <c r="O15" s="246">
        <f t="shared" si="2"/>
        <v>76051</v>
      </c>
      <c r="P15" s="246">
        <f t="shared" si="2"/>
        <v>5162.72</v>
      </c>
      <c r="Q15" s="246">
        <f t="shared" si="2"/>
        <v>150928.97039999999</v>
      </c>
      <c r="R15" s="246">
        <f t="shared" si="2"/>
        <v>2581.3599999999997</v>
      </c>
      <c r="S15" s="246">
        <f t="shared" si="2"/>
        <v>9680.1000000000022</v>
      </c>
      <c r="T15" s="246">
        <f t="shared" si="2"/>
        <v>3872.0400000000009</v>
      </c>
      <c r="U15" s="247">
        <f t="shared" si="2"/>
        <v>151654.9</v>
      </c>
      <c r="V15" s="248">
        <f t="shared" si="2"/>
        <v>219415.60000000003</v>
      </c>
      <c r="W15" s="248">
        <f t="shared" si="3"/>
        <v>623858.19039999996</v>
      </c>
      <c r="X15" s="248" t="str">
        <f t="shared" si="3"/>
        <v/>
      </c>
    </row>
    <row r="16" spans="1:24" ht="15" customHeight="1" thickBot="1" x14ac:dyDescent="0.4">
      <c r="B16" s="25" t="s">
        <v>142</v>
      </c>
      <c r="C16" s="116">
        <f>'CALC Variable Supply-Summer'!E53</f>
        <v>340</v>
      </c>
      <c r="D16" s="234">
        <f>'CALC Variable Supply-Summer'!F53</f>
        <v>1.5725018782870022</v>
      </c>
      <c r="E16" s="125">
        <f>'CALC Variable Supply-Summer'!G53</f>
        <v>0.33</v>
      </c>
      <c r="F16" s="236">
        <f>'CALC Variable Supply-Summer'!H53</f>
        <v>124.76640000000002</v>
      </c>
      <c r="G16" s="131">
        <f>'CALC Variable Supply-Summer'!I53</f>
        <v>126.33890187828702</v>
      </c>
      <c r="K16" s="273"/>
      <c r="L16" s="140" t="str">
        <f t="shared" si="1"/>
        <v>Snohomish PUD Use (370 gpd)</v>
      </c>
      <c r="M16" s="249"/>
      <c r="N16" s="249"/>
      <c r="O16" s="249"/>
      <c r="P16" s="249"/>
      <c r="Q16" s="249"/>
      <c r="R16" s="249"/>
      <c r="S16" s="249"/>
      <c r="T16" s="249"/>
      <c r="U16" s="250"/>
      <c r="V16" s="251"/>
      <c r="W16" s="251" t="str">
        <f t="shared" si="3"/>
        <v/>
      </c>
      <c r="X16" s="251">
        <f t="shared" si="3"/>
        <v>171659.90600000005</v>
      </c>
    </row>
    <row r="17" spans="1:24" ht="15" thickBot="1" x14ac:dyDescent="0.4">
      <c r="B17" s="169" t="s">
        <v>145</v>
      </c>
      <c r="C17" s="221">
        <f>SUM(C7:C16)</f>
        <v>967</v>
      </c>
      <c r="D17" s="222">
        <f>SUM(D7:D16)</f>
        <v>4.4798664132820667</v>
      </c>
      <c r="E17" s="223">
        <f>AVERAGE(E7:E16)</f>
        <v>0.29500000000000004</v>
      </c>
      <c r="F17" s="224">
        <f>SUM(F7:F16)</f>
        <v>338.11350222222228</v>
      </c>
      <c r="G17" s="225">
        <f>SUM(G7:G16)</f>
        <v>342.59336863550431</v>
      </c>
      <c r="K17" s="274"/>
      <c r="L17" s="44" t="str">
        <f t="shared" si="1"/>
        <v>Active Scenario - Variable Supply</v>
      </c>
      <c r="M17" s="252">
        <f t="shared" ref="M17:V17" si="4">M12*$L$31</f>
        <v>2146.7631833043483</v>
      </c>
      <c r="N17" s="252">
        <f t="shared" si="4"/>
        <v>5124.5039234782616</v>
      </c>
      <c r="O17" s="252">
        <f t="shared" si="4"/>
        <v>118649.9985057392</v>
      </c>
      <c r="P17" s="252">
        <f t="shared" si="4"/>
        <v>8910.4734052173935</v>
      </c>
      <c r="Q17" s="252">
        <f t="shared" si="4"/>
        <v>271029.71538782615</v>
      </c>
      <c r="R17" s="252">
        <f t="shared" si="4"/>
        <v>4726.7292215652205</v>
      </c>
      <c r="S17" s="252">
        <f t="shared" si="4"/>
        <v>14234.616480000004</v>
      </c>
      <c r="T17" s="252">
        <f t="shared" si="4"/>
        <v>7376.6342900869586</v>
      </c>
      <c r="U17" s="253">
        <f t="shared" si="4"/>
        <v>333691.14601739141</v>
      </c>
      <c r="V17" s="254">
        <f t="shared" si="4"/>
        <v>447444.05209043494</v>
      </c>
      <c r="W17" s="254">
        <f t="shared" si="3"/>
        <v>1213334.6325050439</v>
      </c>
      <c r="X17" s="254" t="str">
        <f t="shared" si="3"/>
        <v/>
      </c>
    </row>
    <row r="18" spans="1:24" ht="15.75" customHeight="1" thickBot="1" x14ac:dyDescent="0.4">
      <c r="B18" s="151"/>
      <c r="C18" s="152"/>
      <c r="D18" s="168"/>
      <c r="E18" s="152"/>
      <c r="F18" s="168"/>
      <c r="G18" s="168"/>
      <c r="K18" s="275" t="s">
        <v>47</v>
      </c>
      <c r="L18" s="43" t="str">
        <f t="shared" si="1"/>
        <v>1 home + subbasin average yard</v>
      </c>
      <c r="M18" s="45">
        <f t="shared" ref="M18:V20" si="5">M8*$L$32</f>
        <v>3.3217641849010134E-3</v>
      </c>
      <c r="N18" s="45">
        <f t="shared" si="5"/>
        <v>7.9293299469546264E-3</v>
      </c>
      <c r="O18" s="45">
        <f t="shared" si="5"/>
        <v>0.18359142668371703</v>
      </c>
      <c r="P18" s="45">
        <f t="shared" si="5"/>
        <v>1.3787497222868069E-2</v>
      </c>
      <c r="Q18" s="45">
        <f t="shared" si="5"/>
        <v>0.41937406446175307</v>
      </c>
      <c r="R18" s="45">
        <f t="shared" si="5"/>
        <v>7.3138387885676916E-3</v>
      </c>
      <c r="S18" s="45">
        <f t="shared" si="5"/>
        <v>3.1436847147950094E-2</v>
      </c>
      <c r="T18" s="45">
        <f t="shared" si="5"/>
        <v>1.14141325789868E-2</v>
      </c>
      <c r="U18" s="214">
        <f t="shared" si="5"/>
        <v>0.51633235853849668</v>
      </c>
      <c r="V18" s="46">
        <f t="shared" si="5"/>
        <v>0.69234633728590256</v>
      </c>
      <c r="W18" s="46">
        <f>IF(ISNUMBER(W8),W8*$L$32,"")</f>
        <v>1.8868475968400975</v>
      </c>
      <c r="X18" s="46" t="str">
        <f>IF(ISNUMBER(X8),X8*$L$32,"")</f>
        <v/>
      </c>
    </row>
    <row r="19" spans="1:24" ht="15" customHeight="1" thickBot="1" x14ac:dyDescent="0.4">
      <c r="B19" s="170" t="s">
        <v>146</v>
      </c>
      <c r="C19" s="171">
        <f>'CALC Variable Supply-Summer'!E55</f>
        <v>0</v>
      </c>
      <c r="D19" s="172">
        <f>'CALC Variable Supply-Summer'!F55</f>
        <v>0</v>
      </c>
      <c r="E19" s="173">
        <f>'CALC Variable Supply-Summer'!G55</f>
        <v>0</v>
      </c>
      <c r="F19" s="174" t="e">
        <f>'CALC Variable Supply-Summer'!H55</f>
        <v>#DIV/0!</v>
      </c>
      <c r="G19" s="175" t="e">
        <f>'CALC Variable Supply-Summer'!I55</f>
        <v>#DIV/0!</v>
      </c>
      <c r="K19" s="276"/>
      <c r="L19" s="3" t="str">
        <f t="shared" si="1"/>
        <v>1 home + 1/2 acre yard</v>
      </c>
      <c r="M19" s="39">
        <f t="shared" si="5"/>
        <v>5.8916015439992421E-3</v>
      </c>
      <c r="N19" s="39">
        <f t="shared" si="5"/>
        <v>1.4059217225537556E-2</v>
      </c>
      <c r="O19" s="39">
        <f t="shared" si="5"/>
        <v>0.32547474069337889</v>
      </c>
      <c r="P19" s="39">
        <f t="shared" si="5"/>
        <v>2.446121702963135E-2</v>
      </c>
      <c r="Q19" s="39">
        <f t="shared" si="5"/>
        <v>0.67276384707044878</v>
      </c>
      <c r="R19" s="39">
        <f t="shared" si="5"/>
        <v>1.2980769545411492E-2</v>
      </c>
      <c r="S19" s="39">
        <f t="shared" si="5"/>
        <v>4.7435736036838982E-2</v>
      </c>
      <c r="T19" s="39">
        <f t="shared" si="5"/>
        <v>1.8316685719083417E-2</v>
      </c>
      <c r="U19" s="215">
        <f t="shared" si="5"/>
        <v>0.69565372528567859</v>
      </c>
      <c r="V19" s="40">
        <f t="shared" si="5"/>
        <v>1.0445703227931489</v>
      </c>
      <c r="W19" s="40">
        <f t="shared" ref="W19:X22" si="6">IF(ISNUMBER(W9),W9*$L$32,"")</f>
        <v>2.8616078629431576</v>
      </c>
      <c r="X19" s="40" t="str">
        <f t="shared" si="6"/>
        <v/>
      </c>
    </row>
    <row r="20" spans="1:24" x14ac:dyDescent="0.35">
      <c r="K20" s="276"/>
      <c r="L20" s="3" t="str">
        <f t="shared" si="1"/>
        <v>950 gpd</v>
      </c>
      <c r="M20" s="39">
        <f t="shared" si="5"/>
        <v>1.99451624083977E-3</v>
      </c>
      <c r="N20" s="39">
        <f t="shared" si="5"/>
        <v>4.9862906020994259E-3</v>
      </c>
      <c r="O20" s="39">
        <f t="shared" si="5"/>
        <v>0.11767645820954642</v>
      </c>
      <c r="P20" s="39">
        <f t="shared" si="5"/>
        <v>7.9884630619924731E-3</v>
      </c>
      <c r="Q20" s="39">
        <f t="shared" si="5"/>
        <v>0.23353784536541886</v>
      </c>
      <c r="R20" s="39">
        <f t="shared" si="5"/>
        <v>3.9942315309962357E-3</v>
      </c>
      <c r="S20" s="39">
        <f t="shared" si="5"/>
        <v>1.4978368241235888E-2</v>
      </c>
      <c r="T20" s="39">
        <f t="shared" si="5"/>
        <v>5.9913472964943553E-3</v>
      </c>
      <c r="U20" s="215">
        <f t="shared" si="5"/>
        <v>0.23466110244602886</v>
      </c>
      <c r="V20" s="40">
        <f t="shared" si="5"/>
        <v>0.33950968013468008</v>
      </c>
      <c r="W20" s="40">
        <f t="shared" si="6"/>
        <v>0.96531830312933231</v>
      </c>
      <c r="X20" s="40" t="str">
        <f t="shared" si="6"/>
        <v/>
      </c>
    </row>
    <row r="21" spans="1:24" ht="15.75" customHeight="1" thickBot="1" x14ac:dyDescent="0.4">
      <c r="K21" s="276"/>
      <c r="L21" s="140" t="str">
        <f t="shared" si="1"/>
        <v>Snohomish PUD Use (370 gpd)</v>
      </c>
      <c r="M21" s="146"/>
      <c r="N21" s="146"/>
      <c r="O21" s="146"/>
      <c r="P21" s="146"/>
      <c r="Q21" s="146"/>
      <c r="R21" s="146"/>
      <c r="S21" s="146"/>
      <c r="T21" s="146"/>
      <c r="U21" s="216"/>
      <c r="V21" s="147"/>
      <c r="W21" s="147" t="str">
        <f t="shared" si="6"/>
        <v/>
      </c>
      <c r="X21" s="147">
        <f t="shared" si="6"/>
        <v>0.26561557053376905</v>
      </c>
    </row>
    <row r="22" spans="1:24" ht="15" thickBot="1" x14ac:dyDescent="0.4">
      <c r="A22" s="108" t="s">
        <v>74</v>
      </c>
      <c r="D22" s="263" t="s">
        <v>78</v>
      </c>
      <c r="E22" s="264"/>
      <c r="F22" s="264"/>
      <c r="G22" s="265"/>
      <c r="K22" s="277"/>
      <c r="L22" s="44" t="str">
        <f t="shared" si="1"/>
        <v>Active Scenario - Variable Supply</v>
      </c>
      <c r="M22" s="47">
        <f t="shared" ref="M22:V22" si="7">M12*$L$32</f>
        <v>3.3217641849010134E-3</v>
      </c>
      <c r="N22" s="47">
        <f t="shared" si="7"/>
        <v>7.9293299469546264E-3</v>
      </c>
      <c r="O22" s="47">
        <f t="shared" si="7"/>
        <v>0.18359142668371703</v>
      </c>
      <c r="P22" s="47">
        <f t="shared" si="7"/>
        <v>1.3787497222868069E-2</v>
      </c>
      <c r="Q22" s="47">
        <f t="shared" si="7"/>
        <v>0.41937406446175307</v>
      </c>
      <c r="R22" s="47">
        <f t="shared" si="7"/>
        <v>7.3138387885676916E-3</v>
      </c>
      <c r="S22" s="47">
        <f t="shared" si="7"/>
        <v>2.202573603683898E-2</v>
      </c>
      <c r="T22" s="47">
        <f t="shared" si="7"/>
        <v>1.14141325789868E-2</v>
      </c>
      <c r="U22" s="217">
        <f t="shared" si="7"/>
        <v>0.51633235853849668</v>
      </c>
      <c r="V22" s="48">
        <f t="shared" si="7"/>
        <v>0.69234633728590256</v>
      </c>
      <c r="W22" s="48">
        <f t="shared" si="6"/>
        <v>1.8774364857289865</v>
      </c>
      <c r="X22" s="48" t="str">
        <f t="shared" si="6"/>
        <v/>
      </c>
    </row>
    <row r="23" spans="1:24" ht="60" customHeight="1" x14ac:dyDescent="0.35">
      <c r="B23" s="23" t="s">
        <v>105</v>
      </c>
      <c r="C23" s="26" t="s">
        <v>117</v>
      </c>
      <c r="D23" s="137" t="s">
        <v>27</v>
      </c>
      <c r="E23" s="13" t="s">
        <v>49</v>
      </c>
      <c r="F23" s="13" t="s">
        <v>81</v>
      </c>
      <c r="G23" s="9" t="s">
        <v>17</v>
      </c>
      <c r="K23" s="278" t="s">
        <v>75</v>
      </c>
      <c r="L23" s="43" t="str">
        <f>L8</f>
        <v>1 home + subbasin average yard</v>
      </c>
      <c r="M23" s="49">
        <f>IF(ISNUMBER(M8),M13/$C24,"")</f>
        <v>1073.3815916521742</v>
      </c>
      <c r="N23" s="49">
        <f>IF(ISNUMBER(N8),N13/$C25,"")</f>
        <v>1024.9007846956524</v>
      </c>
      <c r="O23" s="49">
        <f>IF(ISNUMBER(O8),O13/$C26,"")</f>
        <v>1005.5084619130441</v>
      </c>
      <c r="P23" s="49">
        <f>IF(ISNUMBER(P8),P13/$C27,"")</f>
        <v>1113.8091756521742</v>
      </c>
      <c r="Q23" s="49">
        <f>IF(ISNUMBER(Q8),Q13/$C28,"")</f>
        <v>1158.246646956522</v>
      </c>
      <c r="R23" s="49">
        <f>IF(ISNUMBER(R8),R13/$C29,"")</f>
        <v>1181.6823053913051</v>
      </c>
      <c r="S23" s="49">
        <f>IF(ISNUMBER(S8),S13/$C30,"")</f>
        <v>1354.4502720000007</v>
      </c>
      <c r="T23" s="49">
        <f>IF(ISNUMBER(T8),T13/$C31,"")</f>
        <v>1229.4390483478264</v>
      </c>
      <c r="U23" s="218">
        <f>IF(ISNUMBER(U8),U13/$C32,"")</f>
        <v>1419.9623234782614</v>
      </c>
      <c r="V23" s="50">
        <f>IF(ISNUMBER(V8),V13/$C33,"")</f>
        <v>1316.011917913044</v>
      </c>
      <c r="W23" s="50">
        <f>IF(ISNUMBER(W8),W13/$C34,"")</f>
        <v>1261.0307860445125</v>
      </c>
      <c r="X23" s="50" t="str">
        <f>IF(ISNUMBER(X8),X13/$C36,"")</f>
        <v/>
      </c>
    </row>
    <row r="24" spans="1:24" x14ac:dyDescent="0.35">
      <c r="B24" s="24" t="s">
        <v>133</v>
      </c>
      <c r="C24" s="114">
        <f>'SCEN Subbasin Avg Summer'!E44</f>
        <v>2</v>
      </c>
      <c r="D24" s="233">
        <f>'SCEN Subbasin Avg Summer'!F44</f>
        <v>9.3177766974558394E-3</v>
      </c>
      <c r="E24" s="118">
        <f>'SCEN Subbasin Avg Summer'!G44</f>
        <v>0.28000000000000003</v>
      </c>
      <c r="F24" s="235">
        <f>'SCEN Subbasin Avg Summer'!H44</f>
        <v>0.59683555555555556</v>
      </c>
      <c r="G24" s="132">
        <f>'SCEN Subbasin Avg Summer'!I44</f>
        <v>0.60615333225301138</v>
      </c>
      <c r="K24" s="279"/>
      <c r="L24" s="3" t="str">
        <f>L9</f>
        <v>1 home + 1/2 acre yard</v>
      </c>
      <c r="M24" s="51">
        <f>IF(ISNUMBER(M9),M14/$C40,"")</f>
        <v>1903.7885565217396</v>
      </c>
      <c r="N24" s="51">
        <f>IF(ISNUMBER(N9),N14/$C41,"")</f>
        <v>1817.2156869565219</v>
      </c>
      <c r="O24" s="51">
        <f>IF(ISNUMBER(O9),O14/$C42,"")</f>
        <v>1782.5865391304358</v>
      </c>
      <c r="P24" s="51">
        <f>IF(ISNUMBER(P9),P14/$C43,"")</f>
        <v>1976.0749565217395</v>
      </c>
      <c r="Q24" s="51">
        <f>IF(ISNUMBER(Q9),Q14/$C44,"")</f>
        <v>1858.0702434782613</v>
      </c>
      <c r="R24" s="51">
        <f>IF(ISNUMBER(R9),R14/$C45,"")</f>
        <v>2097.2769739130445</v>
      </c>
      <c r="S24" s="51">
        <f>IF(ISNUMBER(S9),S14/$C46,"")</f>
        <v>2043.7592000000006</v>
      </c>
      <c r="T24" s="51">
        <f>IF(ISNUMBER(T9),T14/$C47,"")</f>
        <v>1972.9268521739134</v>
      </c>
      <c r="U24" s="219">
        <f>IF(ISNUMBER(U9),U14/$C48,"")</f>
        <v>1913.1128695652176</v>
      </c>
      <c r="V24" s="52">
        <f>IF(ISNUMBER(V9),V14/$C49,"")</f>
        <v>1985.5192695652179</v>
      </c>
      <c r="W24" s="52">
        <f>IF(ISNUMBER(W9),W14/$C50,"")</f>
        <v>1912.4891797311277</v>
      </c>
      <c r="X24" s="52" t="str">
        <f>IF(ISNUMBER(X9),X14/$C52,"")</f>
        <v/>
      </c>
    </row>
    <row r="25" spans="1:24" x14ac:dyDescent="0.35">
      <c r="B25" s="24" t="s">
        <v>134</v>
      </c>
      <c r="C25" s="114">
        <f>'SCEN Subbasin Avg Summer'!E45</f>
        <v>5</v>
      </c>
      <c r="D25" s="233">
        <f>'SCEN Subbasin Avg Summer'!F45</f>
        <v>2.32944417436396E-2</v>
      </c>
      <c r="E25" s="118">
        <f>'SCEN Subbasin Avg Summer'!G45</f>
        <v>0.28000000000000003</v>
      </c>
      <c r="F25" s="235">
        <f>'SCEN Subbasin Avg Summer'!H45</f>
        <v>1.4236444444444443</v>
      </c>
      <c r="G25" s="132">
        <f>'SCEN Subbasin Avg Summer'!I45</f>
        <v>1.4469388861880839</v>
      </c>
      <c r="K25" s="279"/>
      <c r="L25" s="3" t="str">
        <f>L10</f>
        <v>950 gpd</v>
      </c>
      <c r="M25" s="51">
        <f>IF(ISNUMBER(M10),M15/$C56,"")</f>
        <v>644.5</v>
      </c>
      <c r="N25" s="51">
        <f>IF(ISNUMBER(N10),N15/$C57,"")</f>
        <v>644.50000000000023</v>
      </c>
      <c r="O25" s="51">
        <f>IF(ISNUMBER(O10),O15/$C58,"")</f>
        <v>644.5</v>
      </c>
      <c r="P25" s="51">
        <f>IF(ISNUMBER(P10),P15/$C59,"")</f>
        <v>645.34</v>
      </c>
      <c r="Q25" s="51">
        <f>IF(ISNUMBER(Q10),Q15/$C60,"")</f>
        <v>644.99559999999997</v>
      </c>
      <c r="R25" s="51">
        <f>IF(ISNUMBER(R10),R15/$C61,"")</f>
        <v>645.33999999999992</v>
      </c>
      <c r="S25" s="51">
        <f>IF(ISNUMBER(S10),S15/$C62,"")</f>
        <v>645.34000000000015</v>
      </c>
      <c r="T25" s="51">
        <f>IF(ISNUMBER(T10),T15/$C63,"")</f>
        <v>645.34000000000015</v>
      </c>
      <c r="U25" s="219">
        <f>IF(ISNUMBER(U10),U15/$C64,"")</f>
        <v>645.34</v>
      </c>
      <c r="V25" s="52">
        <f>IF(ISNUMBER(V10),V15/$C65,"")</f>
        <v>645.34000000000015</v>
      </c>
      <c r="W25" s="52">
        <f>IF(ISNUMBER(W10),W15/$C66,"")</f>
        <v>645.14807693898649</v>
      </c>
      <c r="X25" s="52" t="str">
        <f>IF(ISNUMBER(X10),X15/$C68,"")</f>
        <v/>
      </c>
    </row>
    <row r="26" spans="1:24" x14ac:dyDescent="0.35">
      <c r="B26" s="24" t="s">
        <v>135</v>
      </c>
      <c r="C26" s="114">
        <f>'SCEN Subbasin Avg Summer'!E46</f>
        <v>118</v>
      </c>
      <c r="D26" s="233">
        <f>'SCEN Subbasin Avg Summer'!F46</f>
        <v>0.54974882514989454</v>
      </c>
      <c r="E26" s="118">
        <f>'SCEN Subbasin Avg Summer'!G46</f>
        <v>0.28000000000000003</v>
      </c>
      <c r="F26" s="235">
        <f>'SCEN Subbasin Avg Summer'!H46</f>
        <v>32.951893333333345</v>
      </c>
      <c r="G26" s="132">
        <f>'SCEN Subbasin Avg Summer'!I46</f>
        <v>33.501642158483243</v>
      </c>
      <c r="K26" s="279"/>
      <c r="L26" s="3" t="str">
        <f>L11</f>
        <v>Snohomish PUD Use (370 gpd)</v>
      </c>
      <c r="M26" s="51" t="str">
        <f>IF(ISNUMBER(M11),M16/$C72,"")</f>
        <v/>
      </c>
      <c r="N26" s="51" t="str">
        <f>IF(ISNUMBER(N11),N16/$C73,"")</f>
        <v/>
      </c>
      <c r="O26" s="51" t="str">
        <f>IF(ISNUMBER(O11),O16/$C74,"")</f>
        <v/>
      </c>
      <c r="P26" s="51" t="str">
        <f>IF(ISNUMBER(P11),P16/$C75,"")</f>
        <v/>
      </c>
      <c r="Q26" s="51" t="str">
        <f>IF(ISNUMBER(Q11),Q16/$C76,"")</f>
        <v/>
      </c>
      <c r="R26" s="51" t="str">
        <f>IF(ISNUMBER(R11),R16/$C77,"")</f>
        <v/>
      </c>
      <c r="S26" s="51" t="str">
        <f>IF(ISNUMBER(S11),S16/$C78,"")</f>
        <v/>
      </c>
      <c r="T26" s="51" t="str">
        <f>IF(ISNUMBER(T11),T16/$C79,"")</f>
        <v/>
      </c>
      <c r="U26" s="219" t="str">
        <f>IF(ISNUMBER(U11),U16/$C80,"")</f>
        <v/>
      </c>
      <c r="V26" s="52" t="str">
        <f>IF(ISNUMBER(V11),V16/$C81,"")</f>
        <v/>
      </c>
      <c r="W26" s="52" t="str">
        <f>IF(ISNUMBER(W11),W16/$C82,"")</f>
        <v/>
      </c>
      <c r="X26" s="52">
        <f>IF(ISNUMBER(X11),X16/$C84,"")</f>
        <v>177.51800000000006</v>
      </c>
    </row>
    <row r="27" spans="1:24" ht="15" thickBot="1" x14ac:dyDescent="0.4">
      <c r="B27" s="24" t="s">
        <v>136</v>
      </c>
      <c r="C27" s="114">
        <f>'SCEN Subbasin Avg Summer'!E47</f>
        <v>8</v>
      </c>
      <c r="D27" s="233">
        <f>'SCEN Subbasin Avg Summer'!F47</f>
        <v>3.7000044194988285E-2</v>
      </c>
      <c r="E27" s="118">
        <f>'SCEN Subbasin Avg Summer'!G47</f>
        <v>0.28000000000000003</v>
      </c>
      <c r="F27" s="235">
        <f>'SCEN Subbasin Avg Summer'!H47</f>
        <v>2.4789333333333334</v>
      </c>
      <c r="G27" s="132">
        <f>'SCEN Subbasin Avg Summer'!I47</f>
        <v>2.5159333775283219</v>
      </c>
      <c r="K27" s="280"/>
      <c r="L27" s="141" t="str">
        <f>L12</f>
        <v>Active Scenario - Variable Supply</v>
      </c>
      <c r="M27" s="142">
        <f>IF(ISNUMBER(M12),M17/$C7,"")</f>
        <v>1073.3815916521742</v>
      </c>
      <c r="N27" s="142">
        <f>IF(ISNUMBER(N12),N17/$C8,"")</f>
        <v>1024.9007846956524</v>
      </c>
      <c r="O27" s="142">
        <f>IF(ISNUMBER(O12),O17/$C9,"")</f>
        <v>1005.5084619130441</v>
      </c>
      <c r="P27" s="142">
        <f>IF(ISNUMBER(P12),P17/$C10,"")</f>
        <v>1113.8091756521742</v>
      </c>
      <c r="Q27" s="142">
        <f>IF(ISNUMBER(Q12),Q17/$C11,"")</f>
        <v>1158.246646956522</v>
      </c>
      <c r="R27" s="142">
        <f>IF(ISNUMBER(R12),R17/$C12,"")</f>
        <v>1181.6823053913051</v>
      </c>
      <c r="S27" s="142">
        <f>IF(ISNUMBER(S12),S17/$C13,"")</f>
        <v>948.97443200000032</v>
      </c>
      <c r="T27" s="142">
        <f>IF(ISNUMBER(T12),T17/$C14,"")</f>
        <v>1229.4390483478264</v>
      </c>
      <c r="U27" s="220">
        <f>IF(ISNUMBER(U12),U17/$C15,"")</f>
        <v>1419.9623234782614</v>
      </c>
      <c r="V27" s="143">
        <f>IF(ISNUMBER(V12),V17/$C16,"")</f>
        <v>1316.011917913044</v>
      </c>
      <c r="W27" s="143">
        <f>IF(ISNUMBER(W12),W17/$C17,"")</f>
        <v>1254.741088423003</v>
      </c>
      <c r="X27" s="143" t="str">
        <f>IF(ISNUMBER(X12),X17/$C18,"")</f>
        <v/>
      </c>
    </row>
    <row r="28" spans="1:24" x14ac:dyDescent="0.35">
      <c r="B28" s="24" t="s">
        <v>137</v>
      </c>
      <c r="C28" s="114">
        <f>'SCEN Subbasin Avg Summer'!E48</f>
        <v>234</v>
      </c>
      <c r="D28" s="233">
        <f>'SCEN Subbasin Avg Summer'!F48</f>
        <v>1.0855020108719671</v>
      </c>
      <c r="E28" s="118">
        <f>'SCEN Subbasin Avg Summer'!G48</f>
        <v>0.31</v>
      </c>
      <c r="F28" s="235">
        <f>'SCEN Subbasin Avg Summer'!H48</f>
        <v>75.441600000000008</v>
      </c>
      <c r="G28" s="132">
        <f>'SCEN Subbasin Avg Summer'!I48</f>
        <v>76.527102010871971</v>
      </c>
    </row>
    <row r="29" spans="1:24" x14ac:dyDescent="0.35">
      <c r="B29" s="24" t="s">
        <v>138</v>
      </c>
      <c r="C29" s="114">
        <f>'SCEN Subbasin Avg Summer'!E49</f>
        <v>4</v>
      </c>
      <c r="D29" s="233">
        <f>'SCEN Subbasin Avg Summer'!F49</f>
        <v>1.8500022097494143E-2</v>
      </c>
      <c r="E29" s="118">
        <f>'SCEN Subbasin Avg Summer'!G49</f>
        <v>0.28000000000000003</v>
      </c>
      <c r="F29" s="235">
        <f>'SCEN Subbasin Avg Summer'!H49</f>
        <v>1.3161244444444449</v>
      </c>
      <c r="G29" s="132">
        <f>'SCEN Subbasin Avg Summer'!I49</f>
        <v>1.3346244665419391</v>
      </c>
    </row>
    <row r="30" spans="1:24" ht="15" customHeight="1" x14ac:dyDescent="0.35">
      <c r="B30" s="24" t="s">
        <v>139</v>
      </c>
      <c r="C30" s="114">
        <f>'SCEN Subbasin Avg Summer'!E50</f>
        <v>15</v>
      </c>
      <c r="D30" s="233">
        <f>'SCEN Subbasin Avg Summer'!F50</f>
        <v>6.9375082865603038E-2</v>
      </c>
      <c r="E30" s="118">
        <f>'SCEN Subbasin Avg Summer'!G50</f>
        <v>0.33</v>
      </c>
      <c r="F30" s="235">
        <f>'SCEN Subbasin Avg Summer'!H50</f>
        <v>5.6672000000000011</v>
      </c>
      <c r="G30" s="132">
        <f>'SCEN Subbasin Avg Summer'!I50</f>
        <v>5.7365750828656044</v>
      </c>
      <c r="H30" s="37"/>
      <c r="K30" s="63" t="s">
        <v>150</v>
      </c>
    </row>
    <row r="31" spans="1:24" x14ac:dyDescent="0.35">
      <c r="B31" s="24" t="s">
        <v>140</v>
      </c>
      <c r="C31" s="114">
        <f>'SCEN Subbasin Avg Summer'!E51</f>
        <v>6</v>
      </c>
      <c r="D31" s="233">
        <f>'SCEN Subbasin Avg Summer'!F51</f>
        <v>2.7750033146241214E-2</v>
      </c>
      <c r="E31" s="118">
        <f>'SCEN Subbasin Avg Summer'!G51</f>
        <v>0.31</v>
      </c>
      <c r="F31" s="235">
        <f>'SCEN Subbasin Avg Summer'!H51</f>
        <v>2.0550933333333337</v>
      </c>
      <c r="G31" s="132">
        <f>'SCEN Subbasin Avg Summer'!I51</f>
        <v>2.0828433664795747</v>
      </c>
      <c r="K31" s="99" t="s">
        <v>94</v>
      </c>
      <c r="L31" s="100">
        <f>(7.48*43560)/92</f>
        <v>3541.6173913043485</v>
      </c>
      <c r="M31" s="21" t="s">
        <v>71</v>
      </c>
    </row>
    <row r="32" spans="1:24" x14ac:dyDescent="0.35">
      <c r="B32" s="24" t="s">
        <v>141</v>
      </c>
      <c r="C32" s="114">
        <f>'SCEN Subbasin Avg Summer'!E52</f>
        <v>235</v>
      </c>
      <c r="D32" s="233">
        <f>'SCEN Subbasin Avg Summer'!F52</f>
        <v>1.0868762982277809</v>
      </c>
      <c r="E32" s="118">
        <f>'SCEN Subbasin Avg Summer'!G52</f>
        <v>0.37</v>
      </c>
      <c r="F32" s="235">
        <f>'SCEN Subbasin Avg Summer'!H52</f>
        <v>93.13311111111112</v>
      </c>
      <c r="G32" s="132">
        <f>'SCEN Subbasin Avg Summer'!I52</f>
        <v>94.219987409338898</v>
      </c>
      <c r="K32" s="99" t="s">
        <v>94</v>
      </c>
      <c r="L32" s="100">
        <f>43560/(92*24*3600)</f>
        <v>5.4800724637681158E-3</v>
      </c>
      <c r="M32" s="21" t="s">
        <v>72</v>
      </c>
    </row>
    <row r="33" spans="1:12" ht="15" thickBot="1" x14ac:dyDescent="0.4">
      <c r="B33" s="25" t="s">
        <v>142</v>
      </c>
      <c r="C33" s="116">
        <f>'SCEN Subbasin Avg Summer'!E53</f>
        <v>340</v>
      </c>
      <c r="D33" s="234">
        <f>'SCEN Subbasin Avg Summer'!F53</f>
        <v>1.5725018782870022</v>
      </c>
      <c r="E33" s="125">
        <f>'SCEN Subbasin Avg Summer'!G53</f>
        <v>0.33</v>
      </c>
      <c r="F33" s="236">
        <f>'SCEN Subbasin Avg Summer'!H53</f>
        <v>124.76640000000002</v>
      </c>
      <c r="G33" s="131">
        <f>'SCEN Subbasin Avg Summer'!I53</f>
        <v>126.33890187828702</v>
      </c>
      <c r="K33" s="99"/>
      <c r="L33" s="112"/>
    </row>
    <row r="34" spans="1:12" ht="15" thickBot="1" x14ac:dyDescent="0.4">
      <c r="B34" s="169" t="s">
        <v>145</v>
      </c>
      <c r="C34" s="221">
        <f>SUM(C24:C33)</f>
        <v>967</v>
      </c>
      <c r="D34" s="222">
        <f>SUM(D24:D33)</f>
        <v>4.4798664132820667</v>
      </c>
      <c r="E34" s="223">
        <f>AVERAGE(E24:E33)</f>
        <v>0.30500000000000005</v>
      </c>
      <c r="F34" s="224">
        <f>SUM(F24:F33)</f>
        <v>339.83083555555561</v>
      </c>
      <c r="G34" s="225">
        <f>SUM(G24:G33)</f>
        <v>344.31070196883763</v>
      </c>
      <c r="K34" s="99"/>
      <c r="L34" s="112"/>
    </row>
    <row r="35" spans="1:12" ht="15" thickBot="1" x14ac:dyDescent="0.4">
      <c r="B35" s="151"/>
      <c r="C35" s="152"/>
      <c r="D35" s="168"/>
      <c r="E35" s="176"/>
      <c r="F35" s="168"/>
      <c r="G35" s="168"/>
    </row>
    <row r="36" spans="1:12" ht="15.75" customHeight="1" thickBot="1" x14ac:dyDescent="0.4">
      <c r="B36" s="170" t="s">
        <v>146</v>
      </c>
      <c r="C36" s="171">
        <f>'SCEN Subbasin Avg Summer'!E55</f>
        <v>0</v>
      </c>
      <c r="D36" s="172">
        <f>'SCEN Subbasin Avg Summer'!F55</f>
        <v>0</v>
      </c>
      <c r="E36" s="173">
        <f>'SCEN Subbasin Avg Summer'!G55</f>
        <v>0</v>
      </c>
      <c r="F36" s="174" t="e">
        <f>'SCEN Subbasin Avg Summer'!H55</f>
        <v>#DIV/0!</v>
      </c>
      <c r="G36" s="175" t="e">
        <f>'SCEN Subbasin Avg Summer'!I55</f>
        <v>#DIV/0!</v>
      </c>
    </row>
    <row r="37" spans="1:12" ht="15" thickBot="1" x14ac:dyDescent="0.4"/>
    <row r="38" spans="1:12" ht="15" thickBot="1" x14ac:dyDescent="0.4">
      <c r="A38" s="108" t="s">
        <v>76</v>
      </c>
      <c r="D38" s="263" t="s">
        <v>79</v>
      </c>
      <c r="E38" s="264"/>
      <c r="F38" s="264"/>
      <c r="G38" s="265"/>
    </row>
    <row r="39" spans="1:12" ht="58" x14ac:dyDescent="0.35">
      <c r="B39" s="23" t="s">
        <v>105</v>
      </c>
      <c r="C39" s="26" t="s">
        <v>117</v>
      </c>
      <c r="D39" s="137" t="s">
        <v>27</v>
      </c>
      <c r="E39" s="13" t="s">
        <v>49</v>
      </c>
      <c r="F39" s="13" t="s">
        <v>81</v>
      </c>
      <c r="G39" s="9" t="s">
        <v>17</v>
      </c>
    </row>
    <row r="40" spans="1:12" x14ac:dyDescent="0.35">
      <c r="B40" s="24" t="s">
        <v>133</v>
      </c>
      <c r="C40" s="114">
        <f>'SCEN 0.5ac Summer'!E44</f>
        <v>2</v>
      </c>
      <c r="D40" s="127">
        <f>'SCEN 0.5ac Summer'!F44</f>
        <v>9.3177766974558394E-3</v>
      </c>
      <c r="E40" s="118">
        <f>'SCEN 0.5ac Summer'!G44</f>
        <v>0.5</v>
      </c>
      <c r="F40" s="129">
        <f>'SCEN 0.5ac Summer'!H44</f>
        <v>1.0657777777777777</v>
      </c>
      <c r="G40" s="132">
        <f>'SCEN 0.5ac Summer'!I44</f>
        <v>1.0750955544752336</v>
      </c>
    </row>
    <row r="41" spans="1:12" x14ac:dyDescent="0.35">
      <c r="B41" s="24" t="s">
        <v>134</v>
      </c>
      <c r="C41" s="114">
        <f>'SCEN 0.5ac Summer'!E45</f>
        <v>5</v>
      </c>
      <c r="D41" s="127">
        <f>'SCEN 0.5ac Summer'!F45</f>
        <v>2.32944417436396E-2</v>
      </c>
      <c r="E41" s="118">
        <f>'SCEN 0.5ac Summer'!G45</f>
        <v>0.5</v>
      </c>
      <c r="F41" s="129">
        <f>'SCEN 0.5ac Summer'!H45</f>
        <v>2.5422222222222217</v>
      </c>
      <c r="G41" s="132">
        <f>'SCEN 0.5ac Summer'!I45</f>
        <v>2.5655166639658615</v>
      </c>
    </row>
    <row r="42" spans="1:12" x14ac:dyDescent="0.35">
      <c r="B42" s="24" t="s">
        <v>135</v>
      </c>
      <c r="C42" s="114">
        <f>'SCEN 0.5ac Summer'!E46</f>
        <v>118</v>
      </c>
      <c r="D42" s="127">
        <f>'SCEN 0.5ac Summer'!F46</f>
        <v>0.54974882514989454</v>
      </c>
      <c r="E42" s="118">
        <f>'SCEN 0.5ac Summer'!G46</f>
        <v>0.5</v>
      </c>
      <c r="F42" s="129">
        <f>'SCEN 0.5ac Summer'!H46</f>
        <v>58.84266666666668</v>
      </c>
      <c r="G42" s="132">
        <f>'SCEN 0.5ac Summer'!I46</f>
        <v>59.392415491816578</v>
      </c>
    </row>
    <row r="43" spans="1:12" x14ac:dyDescent="0.35">
      <c r="B43" s="24" t="s">
        <v>136</v>
      </c>
      <c r="C43" s="114">
        <f>'SCEN 0.5ac Summer'!E47</f>
        <v>8</v>
      </c>
      <c r="D43" s="127">
        <f>'SCEN 0.5ac Summer'!F47</f>
        <v>3.7000044194988285E-2</v>
      </c>
      <c r="E43" s="118">
        <f>'SCEN 0.5ac Summer'!G47</f>
        <v>0.5</v>
      </c>
      <c r="F43" s="129">
        <f>'SCEN 0.5ac Summer'!H47</f>
        <v>4.4266666666666667</v>
      </c>
      <c r="G43" s="132">
        <f>'SCEN 0.5ac Summer'!I47</f>
        <v>4.4636667108616548</v>
      </c>
    </row>
    <row r="44" spans="1:12" x14ac:dyDescent="0.35">
      <c r="B44" s="24" t="s">
        <v>137</v>
      </c>
      <c r="C44" s="114">
        <f>'SCEN 0.5ac Summer'!E48</f>
        <v>234</v>
      </c>
      <c r="D44" s="127">
        <f>'SCEN 0.5ac Summer'!F48</f>
        <v>1.0855020108719671</v>
      </c>
      <c r="E44" s="118">
        <f>'SCEN 0.5ac Summer'!G48</f>
        <v>0.5</v>
      </c>
      <c r="F44" s="129">
        <f>'SCEN 0.5ac Summer'!H48</f>
        <v>121.68</v>
      </c>
      <c r="G44" s="132">
        <f>'SCEN 0.5ac Summer'!I48</f>
        <v>122.76550201087197</v>
      </c>
    </row>
    <row r="45" spans="1:12" x14ac:dyDescent="0.35">
      <c r="B45" s="24" t="s">
        <v>138</v>
      </c>
      <c r="C45" s="114">
        <f>'SCEN 0.5ac Summer'!E49</f>
        <v>4</v>
      </c>
      <c r="D45" s="127">
        <f>'SCEN 0.5ac Summer'!F49</f>
        <v>1.8500022097494143E-2</v>
      </c>
      <c r="E45" s="118">
        <f>'SCEN 0.5ac Summer'!G49</f>
        <v>0.5</v>
      </c>
      <c r="F45" s="129">
        <f>'SCEN 0.5ac Summer'!H49</f>
        <v>2.3502222222222229</v>
      </c>
      <c r="G45" s="132">
        <f>'SCEN 0.5ac Summer'!I49</f>
        <v>2.3687222443197169</v>
      </c>
    </row>
    <row r="46" spans="1:12" x14ac:dyDescent="0.35">
      <c r="B46" s="24" t="s">
        <v>139</v>
      </c>
      <c r="C46" s="114">
        <f>'SCEN 0.5ac Summer'!E50</f>
        <v>15</v>
      </c>
      <c r="D46" s="127">
        <f>'SCEN 0.5ac Summer'!F50</f>
        <v>6.9375082865603038E-2</v>
      </c>
      <c r="E46" s="118">
        <f>'SCEN 0.5ac Summer'!G50</f>
        <v>0.5</v>
      </c>
      <c r="F46" s="129">
        <f>'SCEN 0.5ac Summer'!H50</f>
        <v>8.5866666666666678</v>
      </c>
      <c r="G46" s="132">
        <f>'SCEN 0.5ac Summer'!I50</f>
        <v>8.656041749532271</v>
      </c>
    </row>
    <row r="47" spans="1:12" x14ac:dyDescent="0.35">
      <c r="B47" s="24" t="s">
        <v>140</v>
      </c>
      <c r="C47" s="114">
        <f>'SCEN 0.5ac Summer'!E51</f>
        <v>6</v>
      </c>
      <c r="D47" s="127">
        <f>'SCEN 0.5ac Summer'!F51</f>
        <v>2.7750033146241214E-2</v>
      </c>
      <c r="E47" s="118">
        <f>'SCEN 0.5ac Summer'!G51</f>
        <v>0.5</v>
      </c>
      <c r="F47" s="129">
        <f>'SCEN 0.5ac Summer'!H51</f>
        <v>3.3146666666666671</v>
      </c>
      <c r="G47" s="132">
        <f>'SCEN 0.5ac Summer'!I51</f>
        <v>3.3424166998129081</v>
      </c>
    </row>
    <row r="48" spans="1:12" x14ac:dyDescent="0.35">
      <c r="B48" s="24" t="s">
        <v>141</v>
      </c>
      <c r="C48" s="114">
        <f>'SCEN 0.5ac Summer'!E52</f>
        <v>235</v>
      </c>
      <c r="D48" s="127">
        <f>'SCEN 0.5ac Summer'!F52</f>
        <v>1.0868762982277809</v>
      </c>
      <c r="E48" s="118">
        <f>'SCEN 0.5ac Summer'!G52</f>
        <v>0.5</v>
      </c>
      <c r="F48" s="129">
        <f>'SCEN 0.5ac Summer'!H52</f>
        <v>125.85555555555555</v>
      </c>
      <c r="G48" s="132">
        <f>'SCEN 0.5ac Summer'!I52</f>
        <v>126.94243185378333</v>
      </c>
    </row>
    <row r="49" spans="1:9" ht="15" thickBot="1" x14ac:dyDescent="0.4">
      <c r="B49" s="25" t="s">
        <v>142</v>
      </c>
      <c r="C49" s="116">
        <f>'SCEN 0.5ac Summer'!E53</f>
        <v>340</v>
      </c>
      <c r="D49" s="128">
        <f>'SCEN 0.5ac Summer'!F53</f>
        <v>1.5725018782870022</v>
      </c>
      <c r="E49" s="125">
        <f>'SCEN 0.5ac Summer'!G53</f>
        <v>0.5</v>
      </c>
      <c r="F49" s="130">
        <f>'SCEN 0.5ac Summer'!H53</f>
        <v>189.04000000000002</v>
      </c>
      <c r="G49" s="131">
        <f>'SCEN 0.5ac Summer'!I53</f>
        <v>190.61250187828702</v>
      </c>
    </row>
    <row r="50" spans="1:9" ht="15" thickBot="1" x14ac:dyDescent="0.4">
      <c r="B50" s="169" t="s">
        <v>145</v>
      </c>
      <c r="C50" s="221">
        <f>SUM(C40:C49)</f>
        <v>967</v>
      </c>
      <c r="D50" s="222">
        <f>SUM(D40:D49)</f>
        <v>4.4798664132820667</v>
      </c>
      <c r="E50" s="223">
        <f>AVERAGE(E40:E49)</f>
        <v>0.5</v>
      </c>
      <c r="F50" s="224">
        <f>SUM(F40:F49)</f>
        <v>517.70444444444456</v>
      </c>
      <c r="G50" s="225">
        <f>SUM(G40:G49)</f>
        <v>522.18431085772659</v>
      </c>
      <c r="I50" s="104"/>
    </row>
    <row r="51" spans="1:9" ht="15" thickBot="1" x14ac:dyDescent="0.4">
      <c r="B51" s="151"/>
      <c r="C51" s="152"/>
      <c r="D51" s="168"/>
      <c r="E51" s="152"/>
      <c r="F51" s="168"/>
      <c r="G51" s="168"/>
    </row>
    <row r="52" spans="1:9" ht="15" thickBot="1" x14ac:dyDescent="0.4">
      <c r="B52" s="170" t="s">
        <v>146</v>
      </c>
      <c r="C52" s="171">
        <f>'SCEN 0.5ac Summer'!E55</f>
        <v>0</v>
      </c>
      <c r="D52" s="172">
        <f>'SCEN 0.5ac Summer'!F55</f>
        <v>0</v>
      </c>
      <c r="E52" s="173">
        <f>'SCEN 0.5ac Summer'!G55</f>
        <v>0</v>
      </c>
      <c r="F52" s="174" t="e">
        <f>'SCEN 0.5ac Summer'!H55</f>
        <v>#DIV/0!</v>
      </c>
      <c r="G52" s="175" t="e">
        <f>'SCEN 0.5ac Summer'!I55</f>
        <v>#DIV/0!</v>
      </c>
    </row>
    <row r="53" spans="1:9" ht="15" thickBot="1" x14ac:dyDescent="0.4"/>
    <row r="54" spans="1:9" ht="15" thickBot="1" x14ac:dyDescent="0.4">
      <c r="A54" s="108" t="s">
        <v>77</v>
      </c>
      <c r="D54" s="266" t="s">
        <v>82</v>
      </c>
      <c r="E54" s="267"/>
      <c r="F54" s="267"/>
      <c r="G54" s="268"/>
    </row>
    <row r="55" spans="1:9" ht="58" x14ac:dyDescent="0.35">
      <c r="B55" s="23" t="s">
        <v>105</v>
      </c>
      <c r="C55" s="26" t="s">
        <v>117</v>
      </c>
      <c r="D55" s="137" t="s">
        <v>27</v>
      </c>
      <c r="E55" s="13" t="s">
        <v>49</v>
      </c>
      <c r="F55" s="13" t="s">
        <v>81</v>
      </c>
      <c r="G55" s="9" t="s">
        <v>17</v>
      </c>
    </row>
    <row r="56" spans="1:9" x14ac:dyDescent="0.35">
      <c r="B56" s="24" t="s">
        <v>133</v>
      </c>
      <c r="C56" s="114">
        <f>'SCEN 950 gpd Summer'!E61</f>
        <v>2</v>
      </c>
      <c r="D56" s="127">
        <f>'SCEN 950 gpd Summer'!F61</f>
        <v>9.3177766974558394E-3</v>
      </c>
      <c r="E56" s="118">
        <f>'SCEN 950 gpd Summer'!G61</f>
        <v>0.16637625386692323</v>
      </c>
      <c r="F56" s="129">
        <f>'SCEN 950 gpd Summer'!H61</f>
        <v>0.35464022824256169</v>
      </c>
      <c r="G56" s="132">
        <f>'SCEN 950 gpd Summer'!I61</f>
        <v>0.36395800494001751</v>
      </c>
    </row>
    <row r="57" spans="1:9" x14ac:dyDescent="0.35">
      <c r="B57" s="24" t="s">
        <v>134</v>
      </c>
      <c r="C57" s="114">
        <f>'SCEN 950 gpd Summer'!E62</f>
        <v>5</v>
      </c>
      <c r="D57" s="127">
        <f>'SCEN 950 gpd Summer'!F62</f>
        <v>2.32944417436396E-2</v>
      </c>
      <c r="E57" s="118">
        <f>'SCEN 950 gpd Summer'!G62</f>
        <v>0.17437511222590993</v>
      </c>
      <c r="F57" s="129">
        <f>'SCEN 950 gpd Summer'!H62</f>
        <v>0.8866005706064044</v>
      </c>
      <c r="G57" s="132">
        <f>'SCEN 950 gpd Summer'!I62</f>
        <v>0.909895012350044</v>
      </c>
    </row>
    <row r="58" spans="1:9" x14ac:dyDescent="0.35">
      <c r="B58" s="24" t="s">
        <v>135</v>
      </c>
      <c r="C58" s="114">
        <f>'SCEN 950 gpd Summer'!E63</f>
        <v>118</v>
      </c>
      <c r="D58" s="127">
        <f>'SCEN 950 gpd Summer'!F63</f>
        <v>0.54974882514989454</v>
      </c>
      <c r="E58" s="118">
        <f>'SCEN 950 gpd Summer'!G63</f>
        <v>0.17779423207347675</v>
      </c>
      <c r="F58" s="129">
        <f>'SCEN 950 gpd Summer'!H63</f>
        <v>20.92377346631114</v>
      </c>
      <c r="G58" s="132">
        <f>'SCEN 950 gpd Summer'!I63</f>
        <v>21.473522291461034</v>
      </c>
    </row>
    <row r="59" spans="1:9" x14ac:dyDescent="0.35">
      <c r="B59" s="24" t="s">
        <v>136</v>
      </c>
      <c r="C59" s="114">
        <f>'SCEN 950 gpd Summer'!E64</f>
        <v>8</v>
      </c>
      <c r="D59" s="127">
        <f>'SCEN 950 gpd Summer'!F64</f>
        <v>3.7000044194988285E-2</v>
      </c>
      <c r="E59" s="118">
        <f>'SCEN 950 gpd Summer'!G64</f>
        <v>0.16047395486396021</v>
      </c>
      <c r="F59" s="129">
        <f>'SCEN 950 gpd Summer'!H64</f>
        <v>1.4207294137289275</v>
      </c>
      <c r="G59" s="132">
        <f>'SCEN 950 gpd Summer'!I64</f>
        <v>1.4577294579239157</v>
      </c>
    </row>
    <row r="60" spans="1:9" x14ac:dyDescent="0.35">
      <c r="B60" s="24" t="s">
        <v>137</v>
      </c>
      <c r="C60" s="114">
        <f>'SCEN 950 gpd Summer'!E65</f>
        <v>234</v>
      </c>
      <c r="D60" s="127">
        <f>'SCEN 950 gpd Summer'!F65</f>
        <v>1.0855020108719671</v>
      </c>
      <c r="E60" s="118">
        <f>'SCEN 950 gpd Summer'!G65</f>
        <v>0.17065388562714762</v>
      </c>
      <c r="F60" s="129">
        <f>'SCEN 950 gpd Summer'!H65</f>
        <v>41.530329606222644</v>
      </c>
      <c r="G60" s="132">
        <f>'SCEN 950 gpd Summer'!I65</f>
        <v>42.615831617094614</v>
      </c>
    </row>
    <row r="61" spans="1:9" x14ac:dyDescent="0.35">
      <c r="B61" s="24" t="s">
        <v>138</v>
      </c>
      <c r="C61" s="114">
        <f>'SCEN 950 gpd Summer'!E66</f>
        <v>4</v>
      </c>
      <c r="D61" s="127">
        <f>'SCEN 950 gpd Summer'!F66</f>
        <v>1.8500022097494143E-2</v>
      </c>
      <c r="E61" s="118">
        <f>'SCEN 950 gpd Summer'!G66</f>
        <v>0.15112713601031041</v>
      </c>
      <c r="F61" s="129">
        <f>'SCEN 950 gpd Summer'!H66</f>
        <v>0.71036470686446362</v>
      </c>
      <c r="G61" s="132">
        <f>'SCEN 950 gpd Summer'!I66</f>
        <v>0.72886472896195775</v>
      </c>
    </row>
    <row r="62" spans="1:9" x14ac:dyDescent="0.35">
      <c r="B62" s="24" t="s">
        <v>139</v>
      </c>
      <c r="C62" s="114">
        <f>'SCEN 950 gpd Summer'!E67</f>
        <v>15</v>
      </c>
      <c r="D62" s="127">
        <f>'SCEN 950 gpd Summer'!F67</f>
        <v>6.9375082865603038E-2</v>
      </c>
      <c r="E62" s="118">
        <f>'SCEN 950 gpd Summer'!G67</f>
        <v>0.15511651692983727</v>
      </c>
      <c r="F62" s="129">
        <f>'SCEN 950 gpd Summer'!H67</f>
        <v>2.6638676507417389</v>
      </c>
      <c r="G62" s="132">
        <f>'SCEN 950 gpd Summer'!I67</f>
        <v>2.7332427336073422</v>
      </c>
      <c r="H62" s="111"/>
    </row>
    <row r="63" spans="1:9" x14ac:dyDescent="0.35">
      <c r="B63" s="24" t="s">
        <v>140</v>
      </c>
      <c r="C63" s="114">
        <f>'SCEN 950 gpd Summer'!E68</f>
        <v>6</v>
      </c>
      <c r="D63" s="127">
        <f>'SCEN 950 gpd Summer'!F68</f>
        <v>2.7750033146241214E-2</v>
      </c>
      <c r="E63" s="118">
        <f>'SCEN 950 gpd Summer'!G68</f>
        <v>0.16073215913566405</v>
      </c>
      <c r="F63" s="129">
        <f>'SCEN 950 gpd Summer'!H68</f>
        <v>1.0655470602966957</v>
      </c>
      <c r="G63" s="132">
        <f>'SCEN 950 gpd Summer'!I68</f>
        <v>1.0932970934429369</v>
      </c>
      <c r="H63" s="111"/>
    </row>
    <row r="64" spans="1:9" x14ac:dyDescent="0.35">
      <c r="B64" s="24" t="s">
        <v>141</v>
      </c>
      <c r="C64" s="114">
        <f>'SCEN 950 gpd Summer'!E69</f>
        <v>235</v>
      </c>
      <c r="D64" s="127">
        <f>'SCEN 950 gpd Summer'!F69</f>
        <v>1.0868762982277809</v>
      </c>
      <c r="E64" s="118">
        <f>'SCEN 950 gpd Summer'!G69</f>
        <v>0.16580089112500451</v>
      </c>
      <c r="F64" s="129">
        <f>'SCEN 950 gpd Summer'!H69</f>
        <v>41.733926528287242</v>
      </c>
      <c r="G64" s="132">
        <f>'SCEN 950 gpd Summer'!I69</f>
        <v>42.82080282651502</v>
      </c>
      <c r="H64" s="111"/>
    </row>
    <row r="65" spans="1:8" ht="15" thickBot="1" x14ac:dyDescent="0.4">
      <c r="B65" s="25" t="s">
        <v>142</v>
      </c>
      <c r="C65" s="116">
        <f>'SCEN 950 gpd Summer'!E70</f>
        <v>340</v>
      </c>
      <c r="D65" s="128">
        <f>'SCEN 950 gpd Summer'!F70</f>
        <v>1.5725018782870022</v>
      </c>
      <c r="E65" s="125">
        <f>'SCEN 950 gpd Summer'!G70</f>
        <v>0.15970429560801794</v>
      </c>
      <c r="F65" s="130">
        <f>'SCEN 950 gpd Summer'!H70</f>
        <v>60.381000083479421</v>
      </c>
      <c r="G65" s="131">
        <f>'SCEN 950 gpd Summer'!I70</f>
        <v>61.95350196176642</v>
      </c>
      <c r="H65" s="110"/>
    </row>
    <row r="66" spans="1:8" ht="15.75" customHeight="1" thickBot="1" x14ac:dyDescent="0.4">
      <c r="B66" s="169" t="s">
        <v>145</v>
      </c>
      <c r="C66" s="221">
        <f>SUM(C56:C65)</f>
        <v>967</v>
      </c>
      <c r="D66" s="222">
        <f>SUM(D56:D65)</f>
        <v>4.4798664132820667</v>
      </c>
      <c r="E66" s="223">
        <f>AVERAGE(E56:E65)</f>
        <v>0.16421544374662519</v>
      </c>
      <c r="F66" s="224">
        <f>SUM(F56:F65)</f>
        <v>171.67077931478124</v>
      </c>
      <c r="G66" s="225">
        <f>SUM(G56:G65)</f>
        <v>176.1506457280633</v>
      </c>
    </row>
    <row r="67" spans="1:8" ht="15" thickBot="1" x14ac:dyDescent="0.4">
      <c r="B67" s="151"/>
      <c r="C67" s="152"/>
      <c r="D67" s="168"/>
      <c r="E67" s="176"/>
      <c r="F67" s="168"/>
      <c r="G67" s="168"/>
    </row>
    <row r="68" spans="1:8" ht="15" thickBot="1" x14ac:dyDescent="0.4">
      <c r="B68" s="170" t="s">
        <v>146</v>
      </c>
      <c r="C68" s="171">
        <f>'SCEN 950 gpd Summer'!E72</f>
        <v>0</v>
      </c>
      <c r="D68" s="172">
        <f>'SCEN 950 gpd Summer'!F72</f>
        <v>0</v>
      </c>
      <c r="E68" s="173">
        <f>'SCEN 950 gpd Summer'!G72</f>
        <v>0</v>
      </c>
      <c r="F68" s="174" t="e">
        <f>'SCEN 950 gpd Summer'!H72</f>
        <v>#DIV/0!</v>
      </c>
      <c r="G68" s="175" t="e">
        <f>'SCEN 950 gpd Summer'!I72</f>
        <v>#DIV/0!</v>
      </c>
    </row>
    <row r="69" spans="1:8" ht="15" thickBot="1" x14ac:dyDescent="0.4"/>
    <row r="70" spans="1:8" ht="15" thickBot="1" x14ac:dyDescent="0.4">
      <c r="A70" s="108" t="s">
        <v>115</v>
      </c>
      <c r="D70" s="266" t="s">
        <v>148</v>
      </c>
      <c r="E70" s="267"/>
      <c r="F70" s="267"/>
      <c r="G70" s="268"/>
    </row>
    <row r="71" spans="1:8" ht="58" x14ac:dyDescent="0.35">
      <c r="B71" s="23" t="s">
        <v>105</v>
      </c>
      <c r="C71" s="26" t="s">
        <v>117</v>
      </c>
      <c r="D71" s="137" t="s">
        <v>27</v>
      </c>
      <c r="E71" s="13" t="s">
        <v>49</v>
      </c>
      <c r="F71" s="13" t="s">
        <v>81</v>
      </c>
      <c r="G71" s="9" t="s">
        <v>17</v>
      </c>
    </row>
    <row r="72" spans="1:8" x14ac:dyDescent="0.35">
      <c r="B72" s="24" t="s">
        <v>133</v>
      </c>
      <c r="C72" s="114">
        <f>'SCEN SnoPUD Summer'!E61</f>
        <v>0</v>
      </c>
      <c r="D72" s="127">
        <f>'SCEN SnoPUD Summer'!F61</f>
        <v>0</v>
      </c>
      <c r="E72" s="118">
        <f>'SCEN SnoPUD Summer'!G61</f>
        <v>0</v>
      </c>
      <c r="F72" s="129" t="e">
        <f>'SCEN SnoPUD Summer'!H61</f>
        <v>#DIV/0!</v>
      </c>
      <c r="G72" s="132" t="e">
        <f>'SCEN SnoPUD Summer'!I61</f>
        <v>#DIV/0!</v>
      </c>
    </row>
    <row r="73" spans="1:8" x14ac:dyDescent="0.35">
      <c r="B73" s="24" t="s">
        <v>134</v>
      </c>
      <c r="C73" s="114">
        <f>'SCEN SnoPUD Summer'!E62</f>
        <v>0</v>
      </c>
      <c r="D73" s="127">
        <f>'SCEN SnoPUD Summer'!F62</f>
        <v>0</v>
      </c>
      <c r="E73" s="118">
        <f>'SCEN SnoPUD Summer'!G62</f>
        <v>0</v>
      </c>
      <c r="F73" s="129" t="e">
        <f>'SCEN SnoPUD Summer'!H62</f>
        <v>#DIV/0!</v>
      </c>
      <c r="G73" s="132" t="e">
        <f>'SCEN SnoPUD Summer'!I62</f>
        <v>#DIV/0!</v>
      </c>
    </row>
    <row r="74" spans="1:8" x14ac:dyDescent="0.35">
      <c r="B74" s="24" t="s">
        <v>135</v>
      </c>
      <c r="C74" s="114">
        <f>'SCEN SnoPUD Summer'!E63</f>
        <v>0</v>
      </c>
      <c r="D74" s="127">
        <f>'SCEN SnoPUD Summer'!F63</f>
        <v>0</v>
      </c>
      <c r="E74" s="118">
        <f>'SCEN SnoPUD Summer'!G63</f>
        <v>0</v>
      </c>
      <c r="F74" s="129" t="e">
        <f>'SCEN SnoPUD Summer'!H63</f>
        <v>#DIV/0!</v>
      </c>
      <c r="G74" s="132" t="e">
        <f>'SCEN SnoPUD Summer'!I63</f>
        <v>#DIV/0!</v>
      </c>
    </row>
    <row r="75" spans="1:8" x14ac:dyDescent="0.35">
      <c r="B75" s="24" t="s">
        <v>136</v>
      </c>
      <c r="C75" s="114">
        <f>'SCEN SnoPUD Summer'!E64</f>
        <v>0</v>
      </c>
      <c r="D75" s="127">
        <f>'SCEN SnoPUD Summer'!F64</f>
        <v>0</v>
      </c>
      <c r="E75" s="118">
        <f>'SCEN SnoPUD Summer'!G64</f>
        <v>0</v>
      </c>
      <c r="F75" s="129" t="e">
        <f>'SCEN SnoPUD Summer'!H64</f>
        <v>#DIV/0!</v>
      </c>
      <c r="G75" s="132" t="e">
        <f>'SCEN SnoPUD Summer'!I64</f>
        <v>#DIV/0!</v>
      </c>
    </row>
    <row r="76" spans="1:8" x14ac:dyDescent="0.35">
      <c r="B76" s="24" t="s">
        <v>137</v>
      </c>
      <c r="C76" s="114">
        <f>'SCEN SnoPUD Summer'!E65</f>
        <v>0</v>
      </c>
      <c r="D76" s="127">
        <f>'SCEN SnoPUD Summer'!F65</f>
        <v>0</v>
      </c>
      <c r="E76" s="118">
        <f>'SCEN SnoPUD Summer'!G65</f>
        <v>0</v>
      </c>
      <c r="F76" s="129" t="e">
        <f>'SCEN SnoPUD Summer'!H65</f>
        <v>#DIV/0!</v>
      </c>
      <c r="G76" s="132" t="e">
        <f>'SCEN SnoPUD Summer'!I65</f>
        <v>#DIV/0!</v>
      </c>
    </row>
    <row r="77" spans="1:8" x14ac:dyDescent="0.35">
      <c r="B77" s="24" t="s">
        <v>138</v>
      </c>
      <c r="C77" s="114">
        <f>'SCEN SnoPUD Summer'!E66</f>
        <v>0</v>
      </c>
      <c r="D77" s="127">
        <f>'SCEN SnoPUD Summer'!F66</f>
        <v>0</v>
      </c>
      <c r="E77" s="118">
        <f>'SCEN SnoPUD Summer'!G66</f>
        <v>0</v>
      </c>
      <c r="F77" s="129" t="e">
        <f>'SCEN SnoPUD Summer'!H66</f>
        <v>#DIV/0!</v>
      </c>
      <c r="G77" s="132" t="e">
        <f>'SCEN SnoPUD Summer'!I66</f>
        <v>#DIV/0!</v>
      </c>
    </row>
    <row r="78" spans="1:8" x14ac:dyDescent="0.35">
      <c r="B78" s="24" t="s">
        <v>139</v>
      </c>
      <c r="C78" s="114">
        <f>'SCEN SnoPUD Summer'!E67</f>
        <v>0</v>
      </c>
      <c r="D78" s="127">
        <f>'SCEN SnoPUD Summer'!F67</f>
        <v>0</v>
      </c>
      <c r="E78" s="118">
        <f>'SCEN SnoPUD Summer'!G67</f>
        <v>0</v>
      </c>
      <c r="F78" s="129" t="e">
        <f>'SCEN SnoPUD Summer'!H67</f>
        <v>#DIV/0!</v>
      </c>
      <c r="G78" s="132" t="e">
        <f>'SCEN SnoPUD Summer'!I67</f>
        <v>#DIV/0!</v>
      </c>
    </row>
    <row r="79" spans="1:8" x14ac:dyDescent="0.35">
      <c r="B79" s="24" t="s">
        <v>140</v>
      </c>
      <c r="C79" s="114">
        <f>'SCEN SnoPUD Summer'!E68</f>
        <v>0</v>
      </c>
      <c r="D79" s="127">
        <f>'SCEN SnoPUD Summer'!F68</f>
        <v>0</v>
      </c>
      <c r="E79" s="118">
        <f>'SCEN SnoPUD Summer'!G68</f>
        <v>0</v>
      </c>
      <c r="F79" s="129" t="e">
        <f>'SCEN SnoPUD Summer'!H68</f>
        <v>#DIV/0!</v>
      </c>
      <c r="G79" s="132" t="e">
        <f>'SCEN SnoPUD Summer'!I68</f>
        <v>#DIV/0!</v>
      </c>
    </row>
    <row r="80" spans="1:8" x14ac:dyDescent="0.35">
      <c r="B80" s="24" t="s">
        <v>141</v>
      </c>
      <c r="C80" s="114">
        <f>'SCEN SnoPUD Summer'!E69</f>
        <v>0</v>
      </c>
      <c r="D80" s="127">
        <f>'SCEN SnoPUD Summer'!F69</f>
        <v>0</v>
      </c>
      <c r="E80" s="118">
        <f>'SCEN SnoPUD Summer'!G69</f>
        <v>0</v>
      </c>
      <c r="F80" s="129" t="e">
        <f>'SCEN SnoPUD Summer'!H69</f>
        <v>#DIV/0!</v>
      </c>
      <c r="G80" s="132" t="e">
        <f>'SCEN SnoPUD Summer'!I69</f>
        <v>#DIV/0!</v>
      </c>
    </row>
    <row r="81" spans="2:7" ht="15" thickBot="1" x14ac:dyDescent="0.4">
      <c r="B81" s="25" t="s">
        <v>142</v>
      </c>
      <c r="C81" s="116">
        <f>'SCEN SnoPUD Summer'!E70</f>
        <v>0</v>
      </c>
      <c r="D81" s="128">
        <f>'SCEN SnoPUD Summer'!F70</f>
        <v>0</v>
      </c>
      <c r="E81" s="125">
        <f>'SCEN SnoPUD Summer'!G70</f>
        <v>0</v>
      </c>
      <c r="F81" s="130" t="e">
        <f>'SCEN SnoPUD Summer'!H70</f>
        <v>#DIV/0!</v>
      </c>
      <c r="G81" s="131" t="e">
        <f>'SCEN SnoPUD Summer'!I70</f>
        <v>#DIV/0!</v>
      </c>
    </row>
    <row r="82" spans="2:7" ht="15" thickBot="1" x14ac:dyDescent="0.4">
      <c r="B82" s="169" t="s">
        <v>145</v>
      </c>
      <c r="C82" s="221">
        <f>SUM(C72:C81)</f>
        <v>0</v>
      </c>
      <c r="D82" s="222">
        <f>SUM(D72:D81)</f>
        <v>0</v>
      </c>
      <c r="E82" s="223">
        <f>AVERAGE(E72:E81)</f>
        <v>0</v>
      </c>
      <c r="F82" s="224" t="e">
        <f>SUM(F72:F81)</f>
        <v>#DIV/0!</v>
      </c>
      <c r="G82" s="225" t="e">
        <f>SUM(G72:G81)</f>
        <v>#DIV/0!</v>
      </c>
    </row>
    <row r="83" spans="2:7" ht="15" thickBot="1" x14ac:dyDescent="0.4">
      <c r="B83" s="151"/>
      <c r="C83" s="152"/>
      <c r="D83" s="168"/>
      <c r="E83" s="176"/>
      <c r="F83" s="168"/>
      <c r="G83" s="168"/>
    </row>
    <row r="84" spans="2:7" ht="15" thickBot="1" x14ac:dyDescent="0.4">
      <c r="B84" s="170" t="s">
        <v>146</v>
      </c>
      <c r="C84" s="171">
        <f>'SCEN SnoPUD Summer'!E72</f>
        <v>967</v>
      </c>
      <c r="D84" s="172">
        <f>'SCEN SnoPUD Summer'!F72</f>
        <v>4.6214596868048483</v>
      </c>
      <c r="E84" s="173">
        <f>'SCEN SnoPUD Summer'!G72</f>
        <v>4.1847650702825388E-2</v>
      </c>
      <c r="F84" s="174">
        <f>'SCEN SnoPUD Summer'!H72</f>
        <v>43.847894010596981</v>
      </c>
      <c r="G84" s="175">
        <f>'SCEN SnoPUD Summer'!I72</f>
        <v>48.469353697401829</v>
      </c>
    </row>
  </sheetData>
  <sheetProtection algorithmName="SHA-512" hashValue="0q+Ohs+56K6YxpnbSSO6b8stmkeQUE5YEj6pmMwZ5XYkaduxmQX/lEsXx/orrgCySIcLxwNBtE0O8me4gPVFsQ==" saltValue="jASEckzK8LX3DtSYhIfgdQ==" spinCount="100000" sheet="1" objects="1" scenarios="1"/>
  <mergeCells count="9">
    <mergeCell ref="D70:G70"/>
    <mergeCell ref="D5:G5"/>
    <mergeCell ref="K8:K12"/>
    <mergeCell ref="K13:K17"/>
    <mergeCell ref="K18:K22"/>
    <mergeCell ref="K23:K27"/>
    <mergeCell ref="D22:G22"/>
    <mergeCell ref="D38:G38"/>
    <mergeCell ref="D54:G54"/>
  </mergeCells>
  <pageMargins left="0.7" right="0.7" top="0.75" bottom="0.75" header="0.3" footer="0.3"/>
  <pageSetup scale="67" orientation="portrait" horizontalDpi="1200" verticalDpi="1200" r:id="rId1"/>
  <colBreaks count="1" manualBreakCount="1">
    <brk id="9" min="3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L60"/>
  <sheetViews>
    <sheetView topLeftCell="A55" zoomScaleNormal="100" zoomScaleSheetLayoutView="100" workbookViewId="0">
      <selection activeCell="M19" sqref="M19"/>
    </sheetView>
  </sheetViews>
  <sheetFormatPr defaultRowHeight="14.5" x14ac:dyDescent="0.35"/>
  <cols>
    <col min="1" max="1" width="29.1796875" bestFit="1" customWidth="1"/>
    <col min="2" max="2" width="3.7265625" customWidth="1"/>
    <col min="4" max="4" width="24.453125" bestFit="1" customWidth="1"/>
    <col min="5" max="5" width="16.7265625" customWidth="1"/>
    <col min="6" max="12" width="17.7265625" customWidth="1"/>
    <col min="13" max="13" width="13.7265625" customWidth="1"/>
  </cols>
  <sheetData>
    <row r="1" spans="1:12" s="21" customFormat="1" x14ac:dyDescent="0.35">
      <c r="G1" s="134"/>
    </row>
    <row r="2" spans="1:12" s="21" customFormat="1" x14ac:dyDescent="0.35">
      <c r="A2" s="133" t="s">
        <v>122</v>
      </c>
      <c r="G2" s="134"/>
    </row>
    <row r="3" spans="1:12" s="21" customFormat="1" x14ac:dyDescent="0.35">
      <c r="A3" s="133" t="s">
        <v>113</v>
      </c>
      <c r="G3" s="134"/>
    </row>
    <row r="4" spans="1:12" s="21" customFormat="1" x14ac:dyDescent="0.35"/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89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15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1.8483633122670554E-2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0" si="1">E12*F12</f>
        <v>165</v>
      </c>
      <c r="H12" s="57">
        <v>0.1</v>
      </c>
      <c r="I12" s="29">
        <f t="shared" ref="I12:I20" si="2">G12*H12</f>
        <v>16.5</v>
      </c>
      <c r="J12" s="30">
        <f t="shared" si="0"/>
        <v>1.8483633122670554E-2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1.8483633122670554E-2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ref="I14" si="3">G14*H14</f>
        <v>16.380000000000003</v>
      </c>
      <c r="J14" s="30">
        <f t="shared" si="0"/>
        <v>1.8349206699960225E-2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1.840432153327146E-2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1.8349206699960225E-2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1.8349206699960225E-2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1.8349206699960225E-2</v>
      </c>
      <c r="K18" s="17"/>
      <c r="L18" s="17"/>
    </row>
    <row r="19" spans="1:12" s="21" customFormat="1" x14ac:dyDescent="0.35">
      <c r="A19" s="62"/>
      <c r="B19" s="17"/>
      <c r="C19" s="17"/>
      <c r="D19" s="196" t="s">
        <v>141</v>
      </c>
      <c r="E19" s="53">
        <v>60</v>
      </c>
      <c r="F19" s="227">
        <v>2.73</v>
      </c>
      <c r="G19" s="27">
        <f t="shared" ref="G19" si="4">E19*F19</f>
        <v>163.80000000000001</v>
      </c>
      <c r="H19" s="57">
        <v>0.1</v>
      </c>
      <c r="I19" s="29">
        <f t="shared" ref="I19" si="5">G19*H19</f>
        <v>16.380000000000003</v>
      </c>
      <c r="J19" s="30">
        <f t="shared" si="0"/>
        <v>1.8349206699960225E-2</v>
      </c>
      <c r="K19" s="17"/>
      <c r="L19" s="17"/>
    </row>
    <row r="20" spans="1:12" ht="15.7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8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1.8349206699960225E-2</v>
      </c>
      <c r="K20" s="17"/>
      <c r="L20" s="17"/>
    </row>
    <row r="21" spans="1:12" s="21" customFormat="1" ht="15" customHeight="1" thickBot="1" x14ac:dyDescent="0.4">
      <c r="A21" s="62"/>
      <c r="B21" s="17"/>
      <c r="C21" s="17"/>
      <c r="D21" s="152"/>
      <c r="E21" s="152"/>
      <c r="F21" s="153"/>
      <c r="G21" s="154"/>
      <c r="H21" s="155"/>
      <c r="I21" s="156"/>
      <c r="J21" s="154"/>
      <c r="K21" s="17"/>
      <c r="L21" s="17"/>
    </row>
    <row r="22" spans="1:12" s="21" customFormat="1" ht="15" customHeight="1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ref="G22" si="6">E22*F22</f>
        <v>0</v>
      </c>
      <c r="H22" s="161"/>
      <c r="I22" s="162">
        <f t="shared" ref="I22" si="7">G22*H22</f>
        <v>0</v>
      </c>
      <c r="J22" s="163">
        <f>I22/$E$59</f>
        <v>0</v>
      </c>
      <c r="K22" s="17"/>
      <c r="L22" s="17"/>
    </row>
    <row r="23" spans="1:12" ht="15" customHeight="1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57</v>
      </c>
      <c r="F26" s="13" t="s">
        <v>16</v>
      </c>
      <c r="G26" s="13" t="s">
        <v>85</v>
      </c>
      <c r="H26" s="13" t="s">
        <v>59</v>
      </c>
      <c r="I26" s="13" t="s">
        <v>119</v>
      </c>
      <c r="J26" s="9" t="s">
        <v>118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231">
        <v>15.05</v>
      </c>
      <c r="F27" s="57">
        <v>0.75</v>
      </c>
      <c r="G27" s="27">
        <f>E27/F27</f>
        <v>20.066666666666666</v>
      </c>
      <c r="H27" s="57">
        <v>0.8</v>
      </c>
      <c r="I27" s="27">
        <f>H27*G27</f>
        <v>16.053333333333335</v>
      </c>
      <c r="J27" s="30">
        <f>I27/12</f>
        <v>1.337777777777778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231">
        <v>14.16</v>
      </c>
      <c r="F28" s="57">
        <v>0.75</v>
      </c>
      <c r="G28" s="27">
        <f t="shared" ref="G28:G36" si="8">E28/F28</f>
        <v>18.88</v>
      </c>
      <c r="H28" s="57">
        <v>0.8</v>
      </c>
      <c r="I28" s="27">
        <f t="shared" ref="I28:I36" si="9">H28*G28</f>
        <v>15.103999999999999</v>
      </c>
      <c r="J28" s="30">
        <f t="shared" ref="J28:J36" si="10">I28/12</f>
        <v>1.2586666666666666</v>
      </c>
      <c r="K28" s="17"/>
      <c r="L28" s="17"/>
    </row>
    <row r="29" spans="1:12" s="21" customFormat="1" x14ac:dyDescent="0.35">
      <c r="A29" s="17"/>
      <c r="B29" s="17"/>
      <c r="C29" s="17"/>
      <c r="D29" s="10" t="s">
        <v>135</v>
      </c>
      <c r="E29" s="231">
        <v>13.75</v>
      </c>
      <c r="F29" s="57">
        <v>0.75</v>
      </c>
      <c r="G29" s="27">
        <f t="shared" si="8"/>
        <v>18.333333333333332</v>
      </c>
      <c r="H29" s="57">
        <v>0.8</v>
      </c>
      <c r="I29" s="27">
        <f t="shared" si="9"/>
        <v>14.666666666666666</v>
      </c>
      <c r="J29" s="30">
        <f t="shared" si="10"/>
        <v>1.2222222222222221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231">
        <v>15.71</v>
      </c>
      <c r="F30" s="57">
        <v>0.75</v>
      </c>
      <c r="G30" s="27">
        <f t="shared" ref="G30" si="11">E30/F30</f>
        <v>20.946666666666669</v>
      </c>
      <c r="H30" s="57">
        <v>0.8</v>
      </c>
      <c r="I30" s="27">
        <f t="shared" ref="I30" si="12">H30*G30</f>
        <v>16.757333333333335</v>
      </c>
      <c r="J30" s="30">
        <f t="shared" ref="J30" si="13">I30/12</f>
        <v>1.3964444444444446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231">
        <v>14.43</v>
      </c>
      <c r="F31" s="57">
        <v>0.75</v>
      </c>
      <c r="G31" s="27">
        <f t="shared" si="8"/>
        <v>19.239999999999998</v>
      </c>
      <c r="H31" s="57">
        <v>0.8</v>
      </c>
      <c r="I31" s="27">
        <f t="shared" si="9"/>
        <v>15.391999999999999</v>
      </c>
      <c r="J31" s="30">
        <f t="shared" si="10"/>
        <v>1.2826666666666666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231">
        <v>16.97</v>
      </c>
      <c r="F32" s="57">
        <v>0.75</v>
      </c>
      <c r="G32" s="27">
        <f t="shared" si="8"/>
        <v>22.626666666666665</v>
      </c>
      <c r="H32" s="57">
        <v>0.8</v>
      </c>
      <c r="I32" s="27">
        <f t="shared" si="9"/>
        <v>18.101333333333333</v>
      </c>
      <c r="J32" s="30">
        <f t="shared" si="10"/>
        <v>1.5084444444444445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231">
        <v>16.3</v>
      </c>
      <c r="F33" s="57">
        <v>0.75</v>
      </c>
      <c r="G33" s="27">
        <f t="shared" si="8"/>
        <v>21.733333333333334</v>
      </c>
      <c r="H33" s="57">
        <v>0.8</v>
      </c>
      <c r="I33" s="27">
        <f t="shared" si="9"/>
        <v>17.386666666666667</v>
      </c>
      <c r="J33" s="30">
        <f t="shared" si="10"/>
        <v>1.4488888888888889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231">
        <v>15.53</v>
      </c>
      <c r="F34" s="57">
        <v>0.75</v>
      </c>
      <c r="G34" s="27">
        <f t="shared" si="8"/>
        <v>20.706666666666667</v>
      </c>
      <c r="H34" s="57">
        <v>0.8</v>
      </c>
      <c r="I34" s="27">
        <f t="shared" si="9"/>
        <v>16.565333333333335</v>
      </c>
      <c r="J34" s="30">
        <f t="shared" si="10"/>
        <v>1.3804444444444446</v>
      </c>
      <c r="K34" s="17"/>
      <c r="L34" s="17"/>
    </row>
    <row r="35" spans="1:12" s="21" customFormat="1" x14ac:dyDescent="0.35">
      <c r="A35" s="17"/>
      <c r="B35" s="17"/>
      <c r="C35" s="17"/>
      <c r="D35" s="196" t="s">
        <v>141</v>
      </c>
      <c r="E35" s="231">
        <v>14.82</v>
      </c>
      <c r="F35" s="57">
        <v>0.75</v>
      </c>
      <c r="G35" s="27">
        <f t="shared" ref="G35" si="14">E35/F35</f>
        <v>19.760000000000002</v>
      </c>
      <c r="H35" s="57">
        <v>0.8</v>
      </c>
      <c r="I35" s="27">
        <f t="shared" ref="I35" si="15">H35*G35</f>
        <v>15.808000000000002</v>
      </c>
      <c r="J35" s="30">
        <f t="shared" ref="J35" si="16">I35/12</f>
        <v>1.3173333333333335</v>
      </c>
      <c r="K35" s="17"/>
      <c r="L35" s="17"/>
    </row>
    <row r="36" spans="1:12" ht="15" thickBot="1" x14ac:dyDescent="0.4">
      <c r="A36" s="17"/>
      <c r="B36" s="17"/>
      <c r="C36" s="17"/>
      <c r="D36" s="11" t="s">
        <v>142</v>
      </c>
      <c r="E36" s="232">
        <v>15.63</v>
      </c>
      <c r="F36" s="58">
        <v>0.75</v>
      </c>
      <c r="G36" s="28">
        <f t="shared" si="8"/>
        <v>20.84</v>
      </c>
      <c r="H36" s="58">
        <v>0.8</v>
      </c>
      <c r="I36" s="28">
        <f t="shared" si="9"/>
        <v>16.672000000000001</v>
      </c>
      <c r="J36" s="32">
        <f t="shared" si="10"/>
        <v>1.3893333333333333</v>
      </c>
      <c r="K36" s="17"/>
      <c r="L36" s="17"/>
    </row>
    <row r="37" spans="1:12" s="21" customFormat="1" ht="15" thickBot="1" x14ac:dyDescent="0.4">
      <c r="A37" s="17"/>
      <c r="B37" s="17"/>
      <c r="C37" s="17"/>
      <c r="D37" s="164"/>
      <c r="E37" s="164"/>
      <c r="F37" s="165"/>
      <c r="G37" s="166"/>
      <c r="H37" s="165"/>
      <c r="I37" s="166"/>
      <c r="J37" s="166"/>
      <c r="K37" s="17"/>
      <c r="L37" s="17"/>
    </row>
    <row r="38" spans="1:12" ht="15" thickBot="1" x14ac:dyDescent="0.4">
      <c r="A38" s="17"/>
      <c r="B38" s="17"/>
      <c r="C38" s="17"/>
      <c r="D38" s="157" t="s">
        <v>144</v>
      </c>
      <c r="E38" s="85"/>
      <c r="F38" s="86"/>
      <c r="G38" s="68" t="e">
        <f t="shared" ref="G38" si="17">E38/F38</f>
        <v>#DIV/0!</v>
      </c>
      <c r="H38" s="86"/>
      <c r="I38" s="68" t="e">
        <f t="shared" ref="I38" si="18">H38*G38</f>
        <v>#DIV/0!</v>
      </c>
      <c r="J38" s="69" t="e">
        <f t="shared" ref="J38" si="19">I38/12</f>
        <v>#DIV/0!</v>
      </c>
      <c r="K38" s="17"/>
      <c r="L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45</v>
      </c>
      <c r="D40" s="17"/>
      <c r="E40" s="17"/>
      <c r="F40" s="17"/>
      <c r="G40" s="17"/>
      <c r="H40" s="17"/>
      <c r="I40" s="17"/>
      <c r="J40" s="17"/>
      <c r="K40" s="17"/>
      <c r="L40" s="38"/>
    </row>
    <row r="41" spans="1:12" x14ac:dyDescent="0.35">
      <c r="A41" s="17"/>
      <c r="B41" s="17"/>
      <c r="C41" s="17"/>
      <c r="D41" s="17"/>
      <c r="E41" s="21"/>
      <c r="F41" s="21"/>
      <c r="G41" s="21"/>
      <c r="H41" s="21"/>
      <c r="I41" s="21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43.5" x14ac:dyDescent="0.35">
      <c r="A43" s="19"/>
      <c r="B43" s="17"/>
      <c r="C43" s="17"/>
      <c r="D43" s="23" t="s">
        <v>105</v>
      </c>
      <c r="E43" s="26" t="s">
        <v>117</v>
      </c>
      <c r="F43" s="137" t="s">
        <v>27</v>
      </c>
      <c r="G43" s="13" t="s">
        <v>49</v>
      </c>
      <c r="H43" s="13" t="s">
        <v>81</v>
      </c>
      <c r="I43" s="9" t="s">
        <v>17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3" si="20">E44*J11</f>
        <v>3.6967266245341107E-2</v>
      </c>
      <c r="G44" s="109">
        <v>0.28000000000000003</v>
      </c>
      <c r="H44" s="27">
        <f t="shared" ref="H44:H53" si="21">G44*E44*J27</f>
        <v>0.74915555555555569</v>
      </c>
      <c r="I44" s="30">
        <f>F44+H44</f>
        <v>0.78612282180089676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20"/>
        <v>9.2418165613352768E-2</v>
      </c>
      <c r="G45" s="109">
        <v>0.28000000000000003</v>
      </c>
      <c r="H45" s="27">
        <f t="shared" si="21"/>
        <v>1.7621333333333333</v>
      </c>
      <c r="I45" s="30">
        <f t="shared" ref="I45:I55" si="22">F45+H45</f>
        <v>1.854551498946686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20"/>
        <v>2.1810687084751255</v>
      </c>
      <c r="G46" s="109">
        <v>0.28000000000000003</v>
      </c>
      <c r="H46" s="27">
        <f t="shared" si="21"/>
        <v>40.382222222222225</v>
      </c>
      <c r="I46" s="30">
        <f t="shared" si="22"/>
        <v>42.563290930697349</v>
      </c>
      <c r="J46" s="17"/>
      <c r="K46" s="17"/>
    </row>
    <row r="47" spans="1:12" ht="1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20"/>
        <v>0.1467936535996818</v>
      </c>
      <c r="G47" s="109">
        <v>0.28000000000000003</v>
      </c>
      <c r="H47" s="27">
        <f t="shared" si="21"/>
        <v>3.1280355555555563</v>
      </c>
      <c r="I47" s="30">
        <f t="shared" ref="I47" si="23">F47+H47</f>
        <v>3.274829209155238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20"/>
        <v>4.3066112387855213</v>
      </c>
      <c r="G48" s="109">
        <v>0.31</v>
      </c>
      <c r="H48" s="27">
        <f t="shared" si="21"/>
        <v>93.044640000000001</v>
      </c>
      <c r="I48" s="30">
        <f t="shared" si="22"/>
        <v>97.351251238785522</v>
      </c>
      <c r="J48" s="17"/>
      <c r="K48" s="17"/>
    </row>
    <row r="49" spans="1:12" x14ac:dyDescent="0.35">
      <c r="A49" s="61"/>
      <c r="B49" s="17"/>
      <c r="C49" s="17"/>
      <c r="D49" s="24" t="s">
        <v>138</v>
      </c>
      <c r="E49" s="229">
        <v>4</v>
      </c>
      <c r="F49" s="33">
        <f t="shared" si="20"/>
        <v>7.33968267998409E-2</v>
      </c>
      <c r="G49" s="109">
        <v>0.28000000000000003</v>
      </c>
      <c r="H49" s="27">
        <f t="shared" si="21"/>
        <v>1.6894577777777779</v>
      </c>
      <c r="I49" s="30">
        <f t="shared" si="22"/>
        <v>1.7628546045776188</v>
      </c>
      <c r="J49" s="17"/>
      <c r="K49" s="17"/>
    </row>
    <row r="50" spans="1:12" x14ac:dyDescent="0.35">
      <c r="A50" s="61"/>
      <c r="B50" s="17"/>
      <c r="C50" s="17"/>
      <c r="D50" s="24" t="s">
        <v>139</v>
      </c>
      <c r="E50" s="229">
        <v>15</v>
      </c>
      <c r="F50" s="33">
        <f t="shared" si="20"/>
        <v>0.27523810049940339</v>
      </c>
      <c r="G50" s="109">
        <v>0.33</v>
      </c>
      <c r="H50" s="27">
        <f t="shared" si="21"/>
        <v>7.1720000000000006</v>
      </c>
      <c r="I50" s="30">
        <f t="shared" si="22"/>
        <v>7.4472381004994039</v>
      </c>
      <c r="J50" s="17"/>
      <c r="K50" s="17"/>
    </row>
    <row r="51" spans="1:12" ht="15.7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20"/>
        <v>0.11009524019976136</v>
      </c>
      <c r="G51" s="109">
        <v>0.31</v>
      </c>
      <c r="H51" s="27">
        <f t="shared" si="21"/>
        <v>2.5676266666666669</v>
      </c>
      <c r="I51" s="30">
        <f t="shared" si="22"/>
        <v>2.6777219068664282</v>
      </c>
      <c r="J51" s="17"/>
      <c r="K51" s="17"/>
    </row>
    <row r="52" spans="1:12" s="21" customFormat="1" ht="15.75" customHeight="1" x14ac:dyDescent="0.35">
      <c r="A52" s="61"/>
      <c r="B52" s="17"/>
      <c r="C52" s="17"/>
      <c r="D52" s="208" t="s">
        <v>141</v>
      </c>
      <c r="E52" s="229">
        <v>235</v>
      </c>
      <c r="F52" s="33">
        <f t="shared" si="20"/>
        <v>4.3120635744906526</v>
      </c>
      <c r="G52" s="109">
        <v>0.37</v>
      </c>
      <c r="H52" s="27">
        <f t="shared" si="21"/>
        <v>114.54213333333335</v>
      </c>
      <c r="I52" s="30">
        <f t="shared" ref="I52" si="24">F52+H52</f>
        <v>118.854196907824</v>
      </c>
      <c r="J52" s="17"/>
      <c r="K52" s="17"/>
    </row>
    <row r="53" spans="1:12" s="21" customFormat="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si="20"/>
        <v>6.2387302779864768</v>
      </c>
      <c r="G53" s="122">
        <v>0.33</v>
      </c>
      <c r="H53" s="28">
        <f t="shared" si="21"/>
        <v>155.88319999999999</v>
      </c>
      <c r="I53" s="32">
        <f t="shared" si="22"/>
        <v>162.12193027798645</v>
      </c>
      <c r="J53" s="17"/>
      <c r="K53" s="17"/>
      <c r="L53"/>
    </row>
    <row r="54" spans="1:12" s="21" customFormat="1" ht="15" thickBot="1" x14ac:dyDescent="0.4">
      <c r="A54" s="61"/>
      <c r="B54" s="17"/>
      <c r="C54" s="17"/>
      <c r="D54" s="164"/>
      <c r="E54" s="164"/>
      <c r="F54" s="166"/>
      <c r="G54" s="167"/>
      <c r="H54" s="166"/>
      <c r="I54" s="166"/>
      <c r="J54" s="17"/>
      <c r="K54" s="17"/>
    </row>
    <row r="55" spans="1:12" ht="15" thickBot="1" x14ac:dyDescent="0.4">
      <c r="B55" s="17"/>
      <c r="C55" s="17"/>
      <c r="D55" s="157" t="s">
        <v>144</v>
      </c>
      <c r="E55" s="66"/>
      <c r="F55" s="67">
        <f>E55*J22</f>
        <v>0</v>
      </c>
      <c r="G55" s="87"/>
      <c r="H55" s="68" t="e">
        <f t="shared" ref="H55" si="25">G55*E55*J38</f>
        <v>#DIV/0!</v>
      </c>
      <c r="I55" s="69" t="e">
        <f t="shared" si="22"/>
        <v>#DIV/0!</v>
      </c>
      <c r="J55" s="17"/>
      <c r="K55" s="17"/>
    </row>
    <row r="56" spans="1:12" x14ac:dyDescent="0.35">
      <c r="C56" s="17"/>
      <c r="D56" s="17"/>
      <c r="E56" s="17"/>
      <c r="F56" s="17"/>
      <c r="G56" s="17"/>
      <c r="H56" s="17"/>
      <c r="I56" s="17"/>
      <c r="J56" s="17"/>
    </row>
    <row r="57" spans="1:12" ht="15" customHeight="1" x14ac:dyDescent="0.35"/>
    <row r="58" spans="1:12" ht="15.5" x14ac:dyDescent="0.35">
      <c r="C58" s="63" t="s">
        <v>95</v>
      </c>
    </row>
    <row r="59" spans="1:12" x14ac:dyDescent="0.35">
      <c r="D59" s="99" t="s">
        <v>70</v>
      </c>
      <c r="E59" s="100">
        <f>(7.48*43560)/365</f>
        <v>892.68164383561657</v>
      </c>
      <c r="F59" t="s">
        <v>71</v>
      </c>
    </row>
    <row r="60" spans="1:12" x14ac:dyDescent="0.35">
      <c r="D60" s="99" t="s">
        <v>70</v>
      </c>
      <c r="E60" s="100">
        <f>43560/(365*24*3600)</f>
        <v>1.3812785388127853E-3</v>
      </c>
      <c r="F60" t="s">
        <v>72</v>
      </c>
    </row>
  </sheetData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L60"/>
  <sheetViews>
    <sheetView topLeftCell="A44" zoomScaleNormal="100" zoomScaleSheetLayoutView="100" workbookViewId="0">
      <selection activeCell="C58" sqref="C58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6.7265625" style="21" customWidth="1"/>
    <col min="6" max="12" width="17.7265625" style="21" customWidth="1"/>
    <col min="13" max="13" width="13.7265625" style="21" customWidth="1"/>
    <col min="14" max="16384" width="9.1796875" style="21"/>
  </cols>
  <sheetData>
    <row r="1" spans="1:12" x14ac:dyDescent="0.35">
      <c r="G1" s="134"/>
    </row>
    <row r="2" spans="1:12" x14ac:dyDescent="0.35">
      <c r="A2" s="133" t="s">
        <v>122</v>
      </c>
      <c r="G2" s="134"/>
    </row>
    <row r="3" spans="1:12" x14ac:dyDescent="0.35">
      <c r="A3" s="133" t="s">
        <v>112</v>
      </c>
      <c r="G3" s="134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90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4.6588883487279197E-3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2" si="1">E12*F12</f>
        <v>165</v>
      </c>
      <c r="H12" s="57">
        <v>0.1</v>
      </c>
      <c r="I12" s="29">
        <f t="shared" ref="I12:I22" si="2">G12*H12</f>
        <v>16.5</v>
      </c>
      <c r="J12" s="30">
        <f t="shared" si="0"/>
        <v>4.6588883487279197E-3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4.6588883487279197E-3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si="2"/>
        <v>16.380000000000003</v>
      </c>
      <c r="J14" s="30">
        <f t="shared" si="0"/>
        <v>4.6250055243735357E-3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4.6388974823588338E-3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4.6250055243735357E-3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4.6250055243735357E-3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4.6250055243735357E-3</v>
      </c>
      <c r="K18" s="17"/>
      <c r="L18" s="17"/>
    </row>
    <row r="19" spans="1:12" x14ac:dyDescent="0.35">
      <c r="A19" s="62"/>
      <c r="B19" s="17"/>
      <c r="C19" s="17"/>
      <c r="D19" s="196" t="s">
        <v>141</v>
      </c>
      <c r="E19" s="205">
        <v>60</v>
      </c>
      <c r="F19" s="227">
        <v>2.73</v>
      </c>
      <c r="G19" s="27">
        <f t="shared" ref="G19" si="3">E19*F19</f>
        <v>163.80000000000001</v>
      </c>
      <c r="H19" s="57">
        <v>0.1</v>
      </c>
      <c r="I19" s="29">
        <f t="shared" ref="I19" si="4">G19*H19</f>
        <v>16.380000000000003</v>
      </c>
      <c r="J19" s="30">
        <f t="shared" si="0"/>
        <v>4.6250055243735357E-3</v>
      </c>
      <c r="K19" s="17"/>
      <c r="L19" s="17"/>
    </row>
    <row r="20" spans="1:12" ht="15.7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7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4.6250055243735357E-3</v>
      </c>
      <c r="K20" s="17"/>
      <c r="L20" s="17"/>
    </row>
    <row r="21" spans="1:12" ht="15.75" customHeight="1" thickBot="1" x14ac:dyDescent="0.4">
      <c r="A21" s="62"/>
      <c r="B21" s="17"/>
      <c r="C21" s="17"/>
      <c r="D21"/>
      <c r="E21"/>
      <c r="F21"/>
      <c r="G21"/>
      <c r="H21"/>
      <c r="I21"/>
      <c r="J21"/>
      <c r="K21" s="17"/>
      <c r="L21" s="17"/>
    </row>
    <row r="22" spans="1:12" ht="15" customHeight="1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si="1"/>
        <v>0</v>
      </c>
      <c r="H22" s="161"/>
      <c r="I22" s="162">
        <f t="shared" si="2"/>
        <v>0</v>
      </c>
      <c r="J22" s="163">
        <f>I22/$E$59</f>
        <v>0</v>
      </c>
      <c r="K22" s="17"/>
      <c r="L22" s="17"/>
    </row>
    <row r="23" spans="1:12" ht="15" customHeight="1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97</v>
      </c>
      <c r="F26" s="13" t="s">
        <v>16</v>
      </c>
      <c r="G26" s="13" t="s">
        <v>98</v>
      </c>
      <c r="H26" s="13" t="s">
        <v>59</v>
      </c>
      <c r="I26" s="13" t="s">
        <v>86</v>
      </c>
      <c r="J26" s="9" t="s">
        <v>87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53">
        <v>11.99</v>
      </c>
      <c r="F27" s="57">
        <v>0.75</v>
      </c>
      <c r="G27" s="27">
        <f>E27/F27</f>
        <v>15.986666666666666</v>
      </c>
      <c r="H27" s="57">
        <v>0.8</v>
      </c>
      <c r="I27" s="27">
        <f>H27*G27</f>
        <v>12.789333333333333</v>
      </c>
      <c r="J27" s="30">
        <f>I27/12</f>
        <v>1.0657777777777777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53">
        <v>11.44</v>
      </c>
      <c r="F28" s="57">
        <v>0.75</v>
      </c>
      <c r="G28" s="27">
        <f t="shared" ref="G28:G38" si="5">E28/F28</f>
        <v>15.253333333333332</v>
      </c>
      <c r="H28" s="57">
        <v>0.8</v>
      </c>
      <c r="I28" s="27">
        <f t="shared" ref="I28:I38" si="6">H28*G28</f>
        <v>12.202666666666666</v>
      </c>
      <c r="J28" s="30">
        <f t="shared" ref="J28:J38" si="7">I28/12</f>
        <v>1.0168888888888887</v>
      </c>
      <c r="K28" s="17"/>
      <c r="L28" s="17"/>
    </row>
    <row r="29" spans="1:12" x14ac:dyDescent="0.35">
      <c r="A29" s="17"/>
      <c r="B29" s="17"/>
      <c r="C29" s="17"/>
      <c r="D29" s="10" t="s">
        <v>135</v>
      </c>
      <c r="E29" s="53">
        <v>11.22</v>
      </c>
      <c r="F29" s="57">
        <v>0.75</v>
      </c>
      <c r="G29" s="27">
        <f t="shared" si="5"/>
        <v>14.96</v>
      </c>
      <c r="H29" s="57">
        <v>0.8</v>
      </c>
      <c r="I29" s="27">
        <f t="shared" si="6"/>
        <v>11.968000000000002</v>
      </c>
      <c r="J29" s="30">
        <f t="shared" si="7"/>
        <v>0.99733333333333352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53">
        <v>12.45</v>
      </c>
      <c r="F30" s="57">
        <v>0.75</v>
      </c>
      <c r="G30" s="27">
        <f t="shared" si="5"/>
        <v>16.599999999999998</v>
      </c>
      <c r="H30" s="57">
        <v>0.8</v>
      </c>
      <c r="I30" s="27">
        <f t="shared" si="6"/>
        <v>13.28</v>
      </c>
      <c r="J30" s="30">
        <f t="shared" si="7"/>
        <v>1.1066666666666667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53">
        <v>11.7</v>
      </c>
      <c r="F31" s="57">
        <v>0.75</v>
      </c>
      <c r="G31" s="27">
        <f t="shared" si="5"/>
        <v>15.6</v>
      </c>
      <c r="H31" s="57">
        <v>0.8</v>
      </c>
      <c r="I31" s="27">
        <f t="shared" si="6"/>
        <v>12.48</v>
      </c>
      <c r="J31" s="30">
        <f t="shared" si="7"/>
        <v>1.04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53">
        <v>13.22</v>
      </c>
      <c r="F32" s="57">
        <v>0.75</v>
      </c>
      <c r="G32" s="27">
        <f t="shared" si="5"/>
        <v>17.626666666666669</v>
      </c>
      <c r="H32" s="57">
        <v>0.8</v>
      </c>
      <c r="I32" s="27">
        <f t="shared" si="6"/>
        <v>14.101333333333336</v>
      </c>
      <c r="J32" s="30">
        <f t="shared" si="7"/>
        <v>1.1751111111111114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53">
        <v>12.88</v>
      </c>
      <c r="F33" s="57">
        <v>0.75</v>
      </c>
      <c r="G33" s="27">
        <f t="shared" si="5"/>
        <v>17.173333333333336</v>
      </c>
      <c r="H33" s="57">
        <v>0.8</v>
      </c>
      <c r="I33" s="27">
        <f t="shared" si="6"/>
        <v>13.738666666666669</v>
      </c>
      <c r="J33" s="30">
        <f t="shared" si="7"/>
        <v>1.1448888888888891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53">
        <v>12.43</v>
      </c>
      <c r="F34" s="57">
        <v>0.75</v>
      </c>
      <c r="G34" s="27">
        <f t="shared" si="5"/>
        <v>16.573333333333334</v>
      </c>
      <c r="H34" s="57">
        <v>0.8</v>
      </c>
      <c r="I34" s="27">
        <f t="shared" si="6"/>
        <v>13.258666666666668</v>
      </c>
      <c r="J34" s="30">
        <f t="shared" si="7"/>
        <v>1.104888888888889</v>
      </c>
      <c r="K34" s="17"/>
      <c r="L34" s="17"/>
    </row>
    <row r="35" spans="1:12" x14ac:dyDescent="0.35">
      <c r="A35" s="17"/>
      <c r="B35" s="17"/>
      <c r="C35" s="17"/>
      <c r="D35" s="196" t="s">
        <v>141</v>
      </c>
      <c r="E35" s="205">
        <v>12.05</v>
      </c>
      <c r="F35" s="207">
        <v>0.75</v>
      </c>
      <c r="G35" s="27">
        <f t="shared" ref="G35" si="8">E35/F35</f>
        <v>16.066666666666666</v>
      </c>
      <c r="H35" s="57">
        <v>0.8</v>
      </c>
      <c r="I35" s="27">
        <f t="shared" ref="I35" si="9">H35*G35</f>
        <v>12.853333333333333</v>
      </c>
      <c r="J35" s="30">
        <f t="shared" ref="J35" si="10">I35/12</f>
        <v>1.0711111111111111</v>
      </c>
      <c r="K35" s="17"/>
      <c r="L35" s="17"/>
    </row>
    <row r="36" spans="1:12" ht="15" thickBot="1" x14ac:dyDescent="0.4">
      <c r="A36" s="17"/>
      <c r="B36" s="17"/>
      <c r="C36" s="17"/>
      <c r="D36" s="11" t="s">
        <v>142</v>
      </c>
      <c r="E36" s="55">
        <v>12.51</v>
      </c>
      <c r="F36" s="58">
        <v>0.75</v>
      </c>
      <c r="G36" s="28">
        <f t="shared" si="5"/>
        <v>16.68</v>
      </c>
      <c r="H36" s="58">
        <v>0.8</v>
      </c>
      <c r="I36" s="28">
        <f t="shared" si="6"/>
        <v>13.344000000000001</v>
      </c>
      <c r="J36" s="32">
        <f t="shared" si="7"/>
        <v>1.1120000000000001</v>
      </c>
      <c r="K36" s="17"/>
      <c r="L36" s="17"/>
    </row>
    <row r="37" spans="1:12" ht="15" thickBot="1" x14ac:dyDescent="0.4">
      <c r="A37" s="17"/>
      <c r="B37" s="17"/>
      <c r="C37" s="17"/>
      <c r="D37"/>
      <c r="E37"/>
      <c r="F37"/>
      <c r="G37"/>
      <c r="H37"/>
      <c r="I37"/>
      <c r="J37"/>
      <c r="K37" s="17"/>
      <c r="L37" s="17"/>
    </row>
    <row r="38" spans="1:12" ht="15" thickBot="1" x14ac:dyDescent="0.4">
      <c r="A38" s="17"/>
      <c r="B38" s="17"/>
      <c r="C38" s="17"/>
      <c r="D38" s="157" t="s">
        <v>144</v>
      </c>
      <c r="E38" s="177"/>
      <c r="F38" s="161"/>
      <c r="G38" s="160" t="e">
        <f t="shared" si="5"/>
        <v>#DIV/0!</v>
      </c>
      <c r="H38" s="161"/>
      <c r="I38" s="160" t="e">
        <f t="shared" si="6"/>
        <v>#DIV/0!</v>
      </c>
      <c r="J38" s="163" t="e">
        <f t="shared" si="7"/>
        <v>#DIV/0!</v>
      </c>
      <c r="K38" s="17"/>
      <c r="L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100</v>
      </c>
      <c r="D40" s="17"/>
      <c r="E40" s="17"/>
      <c r="F40" s="17"/>
      <c r="G40" s="17"/>
      <c r="H40" s="17"/>
      <c r="I40" s="17"/>
      <c r="J40" s="17"/>
      <c r="K40" s="17"/>
      <c r="L40" s="38"/>
    </row>
    <row r="41" spans="1:12" x14ac:dyDescent="0.35">
      <c r="A41" s="17"/>
      <c r="B41" s="17"/>
      <c r="C41" s="17"/>
      <c r="D41" s="17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58" x14ac:dyDescent="0.35">
      <c r="A43" s="19"/>
      <c r="B43" s="17"/>
      <c r="C43" s="17"/>
      <c r="D43" s="23" t="s">
        <v>105</v>
      </c>
      <c r="E43" s="26" t="s">
        <v>18</v>
      </c>
      <c r="F43" s="137" t="s">
        <v>91</v>
      </c>
      <c r="G43" s="13" t="s">
        <v>49</v>
      </c>
      <c r="H43" s="13" t="s">
        <v>106</v>
      </c>
      <c r="I43" s="9" t="s">
        <v>92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2" si="11">E44*J11</f>
        <v>9.3177766974558394E-3</v>
      </c>
      <c r="G44" s="109">
        <v>0.28000000000000003</v>
      </c>
      <c r="H44" s="27">
        <f t="shared" ref="H44:H52" si="12">G44*E44*J27</f>
        <v>0.59683555555555556</v>
      </c>
      <c r="I44" s="30">
        <f>F44+H44</f>
        <v>0.60615333225301138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11"/>
        <v>2.32944417436396E-2</v>
      </c>
      <c r="G45" s="109">
        <v>0.28000000000000003</v>
      </c>
      <c r="H45" s="27">
        <f t="shared" si="12"/>
        <v>1.4236444444444443</v>
      </c>
      <c r="I45" s="30">
        <f t="shared" ref="I45:I55" si="13">F45+H45</f>
        <v>1.4469388861880839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11"/>
        <v>0.54974882514989454</v>
      </c>
      <c r="G46" s="109">
        <v>0.28000000000000003</v>
      </c>
      <c r="H46" s="27">
        <f t="shared" si="12"/>
        <v>32.951893333333345</v>
      </c>
      <c r="I46" s="30">
        <f t="shared" si="13"/>
        <v>33.501642158483243</v>
      </c>
      <c r="J46" s="17"/>
      <c r="K46" s="17"/>
    </row>
    <row r="47" spans="1:12" ht="1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11"/>
        <v>3.7000044194988285E-2</v>
      </c>
      <c r="G47" s="109">
        <v>0.28000000000000003</v>
      </c>
      <c r="H47" s="27">
        <f t="shared" si="12"/>
        <v>2.4789333333333334</v>
      </c>
      <c r="I47" s="30">
        <f t="shared" si="13"/>
        <v>2.5159333775283219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11"/>
        <v>1.0855020108719671</v>
      </c>
      <c r="G48" s="109">
        <v>0.31</v>
      </c>
      <c r="H48" s="27">
        <f t="shared" si="12"/>
        <v>75.441600000000008</v>
      </c>
      <c r="I48" s="30">
        <f t="shared" si="13"/>
        <v>76.527102010871971</v>
      </c>
      <c r="J48" s="17"/>
      <c r="K48" s="17"/>
    </row>
    <row r="49" spans="1:11" x14ac:dyDescent="0.35">
      <c r="A49" s="61"/>
      <c r="B49" s="17"/>
      <c r="C49" s="17"/>
      <c r="D49" s="24" t="s">
        <v>138</v>
      </c>
      <c r="E49" s="229">
        <v>4</v>
      </c>
      <c r="F49" s="33">
        <f t="shared" si="11"/>
        <v>1.8500022097494143E-2</v>
      </c>
      <c r="G49" s="109">
        <v>0.28000000000000003</v>
      </c>
      <c r="H49" s="27">
        <f t="shared" si="12"/>
        <v>1.3161244444444449</v>
      </c>
      <c r="I49" s="30">
        <f t="shared" si="13"/>
        <v>1.3346244665419391</v>
      </c>
      <c r="J49" s="17"/>
      <c r="K49" s="17"/>
    </row>
    <row r="50" spans="1:11" x14ac:dyDescent="0.35">
      <c r="A50" s="61"/>
      <c r="B50" s="17"/>
      <c r="C50" s="17"/>
      <c r="D50" s="24" t="s">
        <v>139</v>
      </c>
      <c r="E50" s="229">
        <v>15</v>
      </c>
      <c r="F50" s="33">
        <f t="shared" si="11"/>
        <v>6.9375082865603038E-2</v>
      </c>
      <c r="G50" s="109">
        <v>0.23</v>
      </c>
      <c r="H50" s="27">
        <f t="shared" si="12"/>
        <v>3.9498666666666673</v>
      </c>
      <c r="I50" s="30">
        <f t="shared" si="13"/>
        <v>4.0192417495322701</v>
      </c>
      <c r="J50" s="17"/>
      <c r="K50" s="17"/>
    </row>
    <row r="51" spans="1:11" ht="15.7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11"/>
        <v>2.7750033146241214E-2</v>
      </c>
      <c r="G51" s="109">
        <v>0.31</v>
      </c>
      <c r="H51" s="27">
        <f t="shared" si="12"/>
        <v>2.0550933333333337</v>
      </c>
      <c r="I51" s="30">
        <f t="shared" si="13"/>
        <v>2.0828433664795747</v>
      </c>
      <c r="J51" s="17"/>
      <c r="K51" s="17"/>
    </row>
    <row r="52" spans="1:11" ht="15.75" customHeight="1" x14ac:dyDescent="0.35">
      <c r="A52" s="61"/>
      <c r="B52" s="17"/>
      <c r="C52" s="17"/>
      <c r="D52" s="208" t="s">
        <v>141</v>
      </c>
      <c r="E52" s="229">
        <v>235</v>
      </c>
      <c r="F52" s="33">
        <f t="shared" si="11"/>
        <v>1.0868762982277809</v>
      </c>
      <c r="G52" s="109">
        <v>0.37</v>
      </c>
      <c r="H52" s="27">
        <f t="shared" si="12"/>
        <v>93.13311111111112</v>
      </c>
      <c r="I52" s="30">
        <f t="shared" ref="I52" si="14">F52+H52</f>
        <v>94.219987409338898</v>
      </c>
      <c r="J52" s="17"/>
      <c r="K52" s="17"/>
    </row>
    <row r="53" spans="1:1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ref="F53" si="15">E53*J20</f>
        <v>1.5725018782870022</v>
      </c>
      <c r="G53" s="122">
        <v>0.33</v>
      </c>
      <c r="H53" s="28">
        <f t="shared" ref="H53" si="16">G53*E53*J36</f>
        <v>124.76640000000002</v>
      </c>
      <c r="I53" s="32">
        <f t="shared" si="13"/>
        <v>126.33890187828702</v>
      </c>
      <c r="J53" s="17"/>
      <c r="K53" s="17"/>
    </row>
    <row r="54" spans="1:11" ht="15" thickBot="1" x14ac:dyDescent="0.4">
      <c r="A54" s="61"/>
      <c r="B54" s="17"/>
      <c r="C54" s="17"/>
      <c r="D54" s="237"/>
      <c r="E54" s="17"/>
      <c r="F54" s="17"/>
      <c r="G54" s="17"/>
      <c r="H54" s="17"/>
      <c r="I54" s="238"/>
      <c r="J54" s="17"/>
      <c r="K54" s="17"/>
    </row>
    <row r="55" spans="1:11" ht="15" thickBot="1" x14ac:dyDescent="0.4">
      <c r="B55" s="17"/>
      <c r="C55" s="17"/>
      <c r="D55" s="157" t="s">
        <v>144</v>
      </c>
      <c r="E55" s="178"/>
      <c r="F55" s="179">
        <f t="shared" ref="F55" si="17">E55*J22</f>
        <v>0</v>
      </c>
      <c r="G55" s="180"/>
      <c r="H55" s="160" t="e">
        <f t="shared" ref="H55" si="18">G55*E55*J38</f>
        <v>#DIV/0!</v>
      </c>
      <c r="I55" s="163" t="e">
        <f t="shared" si="13"/>
        <v>#DIV/0!</v>
      </c>
      <c r="J55" s="17"/>
      <c r="K55" s="17"/>
    </row>
    <row r="56" spans="1:11" x14ac:dyDescent="0.35">
      <c r="C56" s="17"/>
      <c r="D56" s="17"/>
      <c r="E56" s="17"/>
      <c r="F56" s="17"/>
      <c r="G56" s="17"/>
      <c r="H56" s="17"/>
      <c r="I56" s="17"/>
      <c r="J56" s="17"/>
    </row>
    <row r="57" spans="1:11" ht="15" customHeight="1" x14ac:dyDescent="0.35"/>
    <row r="58" spans="1:11" ht="15.5" x14ac:dyDescent="0.35">
      <c r="C58" s="63" t="s">
        <v>102</v>
      </c>
    </row>
    <row r="59" spans="1:11" x14ac:dyDescent="0.35">
      <c r="D59" s="99" t="s">
        <v>94</v>
      </c>
      <c r="E59" s="100">
        <f>(7.48*43560)/92</f>
        <v>3541.6173913043485</v>
      </c>
      <c r="F59" s="21" t="s">
        <v>71</v>
      </c>
    </row>
    <row r="60" spans="1:11" x14ac:dyDescent="0.35">
      <c r="D60" s="99" t="s">
        <v>94</v>
      </c>
      <c r="E60" s="100">
        <f>43560/(92*24*3600)</f>
        <v>5.4800724637681158E-3</v>
      </c>
      <c r="F60" s="21" t="s">
        <v>72</v>
      </c>
    </row>
  </sheetData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L77"/>
  <sheetViews>
    <sheetView topLeftCell="A76" zoomScaleNormal="100" zoomScaleSheetLayoutView="100" workbookViewId="0">
      <selection activeCell="C21" sqref="C21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6384" width="9.1796875" style="21"/>
  </cols>
  <sheetData>
    <row r="1" spans="1:12" x14ac:dyDescent="0.35">
      <c r="G1" s="134"/>
    </row>
    <row r="2" spans="1:12" x14ac:dyDescent="0.35">
      <c r="A2" s="133" t="s">
        <v>122</v>
      </c>
      <c r="G2" s="134"/>
    </row>
    <row r="3" spans="1:12" x14ac:dyDescent="0.35">
      <c r="A3" s="133" t="s">
        <v>111</v>
      </c>
      <c r="G3" s="134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5" x14ac:dyDescent="0.35">
      <c r="A7" s="17"/>
      <c r="B7" s="17"/>
      <c r="C7" s="63" t="s">
        <v>60</v>
      </c>
      <c r="D7" s="17"/>
      <c r="E7" s="84">
        <v>950</v>
      </c>
      <c r="F7" s="17"/>
      <c r="G7" s="17"/>
      <c r="H7" s="17"/>
      <c r="I7" s="17"/>
      <c r="J7" s="17"/>
      <c r="K7" s="17"/>
      <c r="L7" s="17"/>
    </row>
    <row r="8" spans="1:1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</row>
    <row r="11" spans="1:12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</row>
    <row r="12" spans="1:12" ht="15" customHeight="1" x14ac:dyDescent="0.35">
      <c r="A12" s="61"/>
      <c r="B12" s="19"/>
      <c r="C12" s="17"/>
      <c r="D12" s="10" t="s">
        <v>133</v>
      </c>
      <c r="E12" s="53">
        <v>60</v>
      </c>
      <c r="F12" s="226">
        <v>2.75</v>
      </c>
      <c r="G12" s="29">
        <f>E12*F12</f>
        <v>165</v>
      </c>
      <c r="H12" s="57">
        <v>0.1</v>
      </c>
      <c r="I12" s="35">
        <f>G12*H12</f>
        <v>16.5</v>
      </c>
      <c r="K12" s="17"/>
      <c r="L12" s="17"/>
    </row>
    <row r="13" spans="1:12" ht="15" customHeight="1" x14ac:dyDescent="0.35">
      <c r="A13" s="61"/>
      <c r="B13" s="19"/>
      <c r="C13" s="17"/>
      <c r="D13" s="10" t="s">
        <v>134</v>
      </c>
      <c r="E13" s="53">
        <v>60</v>
      </c>
      <c r="F13" s="226">
        <v>2.75</v>
      </c>
      <c r="G13" s="29">
        <f t="shared" ref="G13:G23" si="0">E13*F13</f>
        <v>165</v>
      </c>
      <c r="H13" s="57">
        <v>0.1</v>
      </c>
      <c r="I13" s="35">
        <f t="shared" ref="I13:I23" si="1">G13*H13</f>
        <v>16.5</v>
      </c>
      <c r="K13" s="17"/>
      <c r="L13" s="17"/>
    </row>
    <row r="14" spans="1:12" x14ac:dyDescent="0.35">
      <c r="A14" s="62"/>
      <c r="B14" s="17"/>
      <c r="C14" s="17"/>
      <c r="D14" s="10" t="s">
        <v>135</v>
      </c>
      <c r="E14" s="53">
        <v>60</v>
      </c>
      <c r="F14" s="226">
        <v>2.75</v>
      </c>
      <c r="G14" s="29">
        <f t="shared" si="0"/>
        <v>165</v>
      </c>
      <c r="H14" s="57">
        <v>0.1</v>
      </c>
      <c r="I14" s="35">
        <f t="shared" si="1"/>
        <v>16.5</v>
      </c>
      <c r="K14" s="17"/>
      <c r="L14" s="17"/>
    </row>
    <row r="15" spans="1:12" x14ac:dyDescent="0.35">
      <c r="A15" s="62"/>
      <c r="B15" s="17"/>
      <c r="C15" s="17"/>
      <c r="D15" s="20" t="s">
        <v>136</v>
      </c>
      <c r="E15" s="53">
        <v>60</v>
      </c>
      <c r="F15" s="226">
        <v>2.73</v>
      </c>
      <c r="G15" s="29">
        <f t="shared" si="0"/>
        <v>163.80000000000001</v>
      </c>
      <c r="H15" s="57">
        <v>0.1</v>
      </c>
      <c r="I15" s="35">
        <f t="shared" si="1"/>
        <v>16.380000000000003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137</v>
      </c>
      <c r="E16" s="53">
        <v>60</v>
      </c>
      <c r="F16" s="226">
        <v>2.7382</v>
      </c>
      <c r="G16" s="29">
        <f t="shared" si="0"/>
        <v>164.292</v>
      </c>
      <c r="H16" s="57">
        <v>0.1</v>
      </c>
      <c r="I16" s="35">
        <f t="shared" si="1"/>
        <v>16.429200000000002</v>
      </c>
      <c r="K16" s="17"/>
      <c r="L16" s="17"/>
    </row>
    <row r="17" spans="1:12" ht="15" customHeight="1" x14ac:dyDescent="0.35">
      <c r="A17" s="62"/>
      <c r="B17" s="17"/>
      <c r="C17" s="17"/>
      <c r="D17" s="10" t="s">
        <v>138</v>
      </c>
      <c r="E17" s="53">
        <v>60</v>
      </c>
      <c r="F17" s="226">
        <v>2.73</v>
      </c>
      <c r="G17" s="29">
        <f t="shared" si="0"/>
        <v>163.80000000000001</v>
      </c>
      <c r="H17" s="57">
        <v>0.1</v>
      </c>
      <c r="I17" s="35">
        <f t="shared" si="1"/>
        <v>16.380000000000003</v>
      </c>
      <c r="K17" s="17"/>
      <c r="L17" s="17"/>
    </row>
    <row r="18" spans="1:12" x14ac:dyDescent="0.35">
      <c r="A18" s="62"/>
      <c r="B18" s="17"/>
      <c r="C18" s="17"/>
      <c r="D18" s="10" t="s">
        <v>139</v>
      </c>
      <c r="E18" s="53">
        <v>60</v>
      </c>
      <c r="F18" s="226">
        <v>2.73</v>
      </c>
      <c r="G18" s="29">
        <f t="shared" si="0"/>
        <v>163.80000000000001</v>
      </c>
      <c r="H18" s="57">
        <v>0.1</v>
      </c>
      <c r="I18" s="35">
        <f t="shared" si="1"/>
        <v>16.380000000000003</v>
      </c>
      <c r="K18" s="17"/>
      <c r="L18" s="17"/>
    </row>
    <row r="19" spans="1:12" x14ac:dyDescent="0.35">
      <c r="A19" s="62"/>
      <c r="B19" s="17"/>
      <c r="C19" s="17"/>
      <c r="D19" s="10" t="s">
        <v>140</v>
      </c>
      <c r="E19" s="53">
        <v>60</v>
      </c>
      <c r="F19" s="226">
        <v>2.73</v>
      </c>
      <c r="G19" s="29">
        <f t="shared" si="0"/>
        <v>163.80000000000001</v>
      </c>
      <c r="H19" s="57">
        <v>0.1</v>
      </c>
      <c r="I19" s="35">
        <f t="shared" si="1"/>
        <v>16.380000000000003</v>
      </c>
      <c r="K19" s="17"/>
      <c r="L19" s="17"/>
    </row>
    <row r="20" spans="1:12" x14ac:dyDescent="0.35">
      <c r="A20" s="62"/>
      <c r="B20" s="17"/>
      <c r="C20" s="17"/>
      <c r="D20" s="196" t="s">
        <v>141</v>
      </c>
      <c r="E20" s="205">
        <v>60</v>
      </c>
      <c r="F20" s="227">
        <v>2.73</v>
      </c>
      <c r="G20" s="29">
        <f t="shared" ref="G20" si="2">E20*F20</f>
        <v>163.80000000000001</v>
      </c>
      <c r="H20" s="57">
        <v>0.1</v>
      </c>
      <c r="I20" s="35">
        <f t="shared" ref="I20" si="3">G20*H20</f>
        <v>16.380000000000003</v>
      </c>
      <c r="K20" s="17"/>
      <c r="L20" s="17"/>
    </row>
    <row r="21" spans="1:12" ht="15.75" customHeight="1" thickBot="1" x14ac:dyDescent="0.4">
      <c r="A21" s="62"/>
      <c r="B21" s="17"/>
      <c r="C21" s="17"/>
      <c r="D21" s="11" t="s">
        <v>142</v>
      </c>
      <c r="E21" s="55">
        <v>60</v>
      </c>
      <c r="F21" s="228">
        <v>2.73</v>
      </c>
      <c r="G21" s="29">
        <f t="shared" si="0"/>
        <v>163.80000000000001</v>
      </c>
      <c r="H21" s="58">
        <v>0.1</v>
      </c>
      <c r="I21" s="36">
        <f t="shared" si="1"/>
        <v>16.380000000000003</v>
      </c>
      <c r="K21" s="17"/>
      <c r="L21" s="17"/>
    </row>
    <row r="22" spans="1:12" ht="15.75" customHeight="1" thickBot="1" x14ac:dyDescent="0.4">
      <c r="A22" s="62"/>
      <c r="B22" s="17"/>
      <c r="C22" s="17"/>
      <c r="D22"/>
      <c r="E22"/>
      <c r="F22"/>
      <c r="G22"/>
      <c r="H22"/>
      <c r="I22"/>
      <c r="K22" s="17"/>
      <c r="L22" s="17"/>
    </row>
    <row r="23" spans="1:12" ht="15" customHeight="1" thickBot="1" x14ac:dyDescent="0.4">
      <c r="A23" s="62"/>
      <c r="B23" s="17"/>
      <c r="C23" s="17"/>
      <c r="D23" s="157" t="s">
        <v>144</v>
      </c>
      <c r="E23" s="158"/>
      <c r="F23" s="159"/>
      <c r="G23" s="162">
        <f t="shared" si="0"/>
        <v>0</v>
      </c>
      <c r="H23" s="161"/>
      <c r="I23" s="181">
        <f t="shared" si="1"/>
        <v>0</v>
      </c>
      <c r="K23" s="17"/>
      <c r="L23" s="17"/>
    </row>
    <row r="24" spans="1:12" ht="15" customHeight="1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</row>
    <row r="25" spans="1:12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</row>
    <row r="27" spans="1:12" ht="58" x14ac:dyDescent="0.35">
      <c r="A27" s="61"/>
      <c r="B27" s="17"/>
      <c r="C27" s="17"/>
      <c r="D27" s="135" t="s">
        <v>105</v>
      </c>
      <c r="E27" s="12" t="s">
        <v>57</v>
      </c>
      <c r="F27" s="13" t="s">
        <v>16</v>
      </c>
      <c r="G27" s="13" t="s">
        <v>85</v>
      </c>
      <c r="H27" s="9" t="s">
        <v>114</v>
      </c>
      <c r="I27" s="17"/>
      <c r="J27" s="17"/>
    </row>
    <row r="28" spans="1:12" x14ac:dyDescent="0.35">
      <c r="A28" s="61"/>
      <c r="B28" s="17"/>
      <c r="C28" s="17"/>
      <c r="D28" s="10" t="s">
        <v>133</v>
      </c>
      <c r="E28" s="231">
        <v>15.05</v>
      </c>
      <c r="F28" s="57">
        <v>0.75</v>
      </c>
      <c r="G28" s="29">
        <f>E28/F28</f>
        <v>20.066666666666666</v>
      </c>
      <c r="H28" s="35">
        <f>G28/12</f>
        <v>1.6722222222222223</v>
      </c>
      <c r="I28" s="17"/>
      <c r="J28" s="17"/>
    </row>
    <row r="29" spans="1:12" x14ac:dyDescent="0.35">
      <c r="A29" s="17"/>
      <c r="B29" s="17"/>
      <c r="C29" s="17"/>
      <c r="D29" s="10" t="s">
        <v>134</v>
      </c>
      <c r="E29" s="231">
        <v>14.16</v>
      </c>
      <c r="F29" s="57">
        <v>0.75</v>
      </c>
      <c r="G29" s="29">
        <f t="shared" ref="G29:G39" si="4">E29/F29</f>
        <v>18.88</v>
      </c>
      <c r="H29" s="35">
        <f t="shared" ref="H29:H39" si="5">G29/12</f>
        <v>1.5733333333333333</v>
      </c>
      <c r="I29" s="17"/>
      <c r="J29" s="17"/>
    </row>
    <row r="30" spans="1:12" x14ac:dyDescent="0.35">
      <c r="A30" s="17"/>
      <c r="B30" s="17"/>
      <c r="C30" s="17"/>
      <c r="D30" s="10" t="s">
        <v>135</v>
      </c>
      <c r="E30" s="231">
        <v>13.75</v>
      </c>
      <c r="F30" s="57">
        <v>0.75</v>
      </c>
      <c r="G30" s="29">
        <f t="shared" si="4"/>
        <v>18.333333333333332</v>
      </c>
      <c r="H30" s="35">
        <f t="shared" si="5"/>
        <v>1.5277777777777777</v>
      </c>
      <c r="I30" s="17"/>
      <c r="J30" s="17"/>
    </row>
    <row r="31" spans="1:12" x14ac:dyDescent="0.35">
      <c r="A31" s="17"/>
      <c r="B31" s="17"/>
      <c r="C31" s="17"/>
      <c r="D31" s="10" t="s">
        <v>136</v>
      </c>
      <c r="E31" s="231">
        <v>15.71</v>
      </c>
      <c r="F31" s="57">
        <v>0.75</v>
      </c>
      <c r="G31" s="29">
        <f t="shared" si="4"/>
        <v>20.946666666666669</v>
      </c>
      <c r="H31" s="35">
        <f t="shared" si="5"/>
        <v>1.7455555555555557</v>
      </c>
      <c r="I31" s="17"/>
      <c r="J31" s="17"/>
    </row>
    <row r="32" spans="1:12" x14ac:dyDescent="0.35">
      <c r="A32" s="17"/>
      <c r="B32" s="17"/>
      <c r="C32" s="17"/>
      <c r="D32" s="10" t="s">
        <v>137</v>
      </c>
      <c r="E32" s="231">
        <v>14.43</v>
      </c>
      <c r="F32" s="57">
        <v>0.75</v>
      </c>
      <c r="G32" s="29">
        <f t="shared" si="4"/>
        <v>19.239999999999998</v>
      </c>
      <c r="H32" s="35">
        <f t="shared" si="5"/>
        <v>1.6033333333333333</v>
      </c>
      <c r="I32" s="17"/>
      <c r="J32" s="17"/>
    </row>
    <row r="33" spans="1:12" x14ac:dyDescent="0.35">
      <c r="A33" s="17"/>
      <c r="B33" s="17"/>
      <c r="C33" s="17"/>
      <c r="D33" s="10" t="s">
        <v>138</v>
      </c>
      <c r="E33" s="231">
        <v>16.97</v>
      </c>
      <c r="F33" s="57">
        <v>0.75</v>
      </c>
      <c r="G33" s="29">
        <f t="shared" si="4"/>
        <v>22.626666666666665</v>
      </c>
      <c r="H33" s="35">
        <f t="shared" si="5"/>
        <v>1.8855555555555554</v>
      </c>
      <c r="I33" s="17"/>
      <c r="J33" s="17"/>
    </row>
    <row r="34" spans="1:12" x14ac:dyDescent="0.35">
      <c r="A34" s="17"/>
      <c r="B34" s="17"/>
      <c r="C34" s="17"/>
      <c r="D34" s="10" t="s">
        <v>139</v>
      </c>
      <c r="E34" s="231">
        <v>16.3</v>
      </c>
      <c r="F34" s="57">
        <v>0.75</v>
      </c>
      <c r="G34" s="29">
        <f t="shared" si="4"/>
        <v>21.733333333333334</v>
      </c>
      <c r="H34" s="35">
        <f t="shared" si="5"/>
        <v>1.8111111111111111</v>
      </c>
      <c r="I34" s="17"/>
      <c r="J34" s="17"/>
    </row>
    <row r="35" spans="1:12" x14ac:dyDescent="0.35">
      <c r="A35" s="17"/>
      <c r="B35" s="17"/>
      <c r="C35" s="17"/>
      <c r="D35" s="10" t="s">
        <v>140</v>
      </c>
      <c r="E35" s="231">
        <v>15.53</v>
      </c>
      <c r="F35" s="57">
        <v>0.75</v>
      </c>
      <c r="G35" s="29">
        <f t="shared" si="4"/>
        <v>20.706666666666667</v>
      </c>
      <c r="H35" s="35">
        <f t="shared" si="5"/>
        <v>1.7255555555555555</v>
      </c>
      <c r="I35" s="17"/>
      <c r="J35" s="17"/>
      <c r="K35" s="101"/>
      <c r="L35" s="101"/>
    </row>
    <row r="36" spans="1:12" x14ac:dyDescent="0.35">
      <c r="A36" s="17"/>
      <c r="B36" s="17"/>
      <c r="C36" s="17"/>
      <c r="D36" s="196" t="s">
        <v>141</v>
      </c>
      <c r="E36" s="231">
        <v>14.82</v>
      </c>
      <c r="F36" s="207">
        <v>0.75</v>
      </c>
      <c r="G36" s="29">
        <f t="shared" ref="G36" si="6">E36/F36</f>
        <v>19.760000000000002</v>
      </c>
      <c r="H36" s="35">
        <f t="shared" ref="H36" si="7">G36/12</f>
        <v>1.6466666666666667</v>
      </c>
      <c r="I36" s="17"/>
      <c r="J36" s="17"/>
      <c r="K36" s="101"/>
      <c r="L36" s="101"/>
    </row>
    <row r="37" spans="1:12" ht="15" thickBot="1" x14ac:dyDescent="0.4">
      <c r="A37" s="17"/>
      <c r="B37" s="17"/>
      <c r="C37" s="17"/>
      <c r="D37" s="11" t="s">
        <v>142</v>
      </c>
      <c r="E37" s="232">
        <v>15.63</v>
      </c>
      <c r="F37" s="58">
        <v>0.75</v>
      </c>
      <c r="G37" s="31">
        <f t="shared" si="4"/>
        <v>20.84</v>
      </c>
      <c r="H37" s="36">
        <f t="shared" si="5"/>
        <v>1.7366666666666666</v>
      </c>
      <c r="I37" s="17"/>
      <c r="J37" s="17"/>
    </row>
    <row r="38" spans="1:12" ht="15" thickBot="1" x14ac:dyDescent="0.4">
      <c r="A38" s="17"/>
      <c r="B38" s="17"/>
      <c r="C38" s="17"/>
      <c r="D38"/>
      <c r="E38"/>
      <c r="F38"/>
      <c r="G38"/>
      <c r="H38"/>
      <c r="I38" s="17"/>
      <c r="J38" s="17"/>
    </row>
    <row r="39" spans="1:12" ht="15" thickBot="1" x14ac:dyDescent="0.4">
      <c r="A39" s="17"/>
      <c r="B39" s="17"/>
      <c r="C39" s="17"/>
      <c r="D39" s="157" t="s">
        <v>144</v>
      </c>
      <c r="E39" s="158"/>
      <c r="F39" s="161"/>
      <c r="G39" s="162" t="e">
        <f t="shared" si="4"/>
        <v>#DIV/0!</v>
      </c>
      <c r="H39" s="181" t="e">
        <f t="shared" si="5"/>
        <v>#DIV/0!</v>
      </c>
      <c r="I39" s="17"/>
      <c r="J39" s="17"/>
    </row>
    <row r="40" spans="1:1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</row>
    <row r="42" spans="1:12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</row>
    <row r="43" spans="1:12" ht="43.5" x14ac:dyDescent="0.35">
      <c r="A43" s="17"/>
      <c r="B43" s="17"/>
      <c r="C43" s="17"/>
      <c r="D43" s="23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68</v>
      </c>
      <c r="L43" s="9" t="s">
        <v>69</v>
      </c>
    </row>
    <row r="44" spans="1:12" x14ac:dyDescent="0.35">
      <c r="A44" s="19"/>
      <c r="B44" s="17"/>
      <c r="C44" s="17"/>
      <c r="D44" s="10" t="s">
        <v>133</v>
      </c>
      <c r="E44" s="138">
        <f t="shared" ref="E44:E53" si="8">G12</f>
        <v>165</v>
      </c>
      <c r="F44" s="88">
        <f>$E$7-E44</f>
        <v>785</v>
      </c>
      <c r="G44" s="27">
        <f t="shared" ref="G44:G53" si="9">F44/$E$76</f>
        <v>0.87937284856341724</v>
      </c>
      <c r="H44" s="88">
        <f t="shared" ref="H44:H53" si="10">G44/H28</f>
        <v>0.52587080644988404</v>
      </c>
      <c r="I44" s="148">
        <v>0.51984171440141402</v>
      </c>
      <c r="J44" s="57">
        <v>0.8</v>
      </c>
      <c r="K44" s="95">
        <f t="shared" ref="K44:K53" si="11">I44*H28*J44</f>
        <v>0.69543269348811387</v>
      </c>
      <c r="L44" s="35">
        <f t="shared" ref="L44:L53" si="12">K44*$E$76</f>
        <v>620.79999999999995</v>
      </c>
    </row>
    <row r="45" spans="1:12" x14ac:dyDescent="0.35">
      <c r="A45" s="61"/>
      <c r="B45" s="17"/>
      <c r="C45" s="17"/>
      <c r="D45" s="10" t="s">
        <v>134</v>
      </c>
      <c r="E45" s="138">
        <f t="shared" si="8"/>
        <v>165</v>
      </c>
      <c r="F45" s="88">
        <f t="shared" ref="F45:F55" si="13">$E$7-E45</f>
        <v>785</v>
      </c>
      <c r="G45" s="27">
        <f t="shared" si="9"/>
        <v>0.87937284856341724</v>
      </c>
      <c r="H45" s="88">
        <f t="shared" si="10"/>
        <v>0.55892342069708723</v>
      </c>
      <c r="I45" s="148">
        <v>0.55251538147890411</v>
      </c>
      <c r="J45" s="57">
        <v>0.8</v>
      </c>
      <c r="K45" s="95">
        <f t="shared" si="11"/>
        <v>0.69543269348811398</v>
      </c>
      <c r="L45" s="35">
        <f t="shared" si="12"/>
        <v>620.80000000000007</v>
      </c>
    </row>
    <row r="46" spans="1:12" x14ac:dyDescent="0.35">
      <c r="A46" s="61"/>
      <c r="B46" s="17"/>
      <c r="C46" s="17"/>
      <c r="D46" s="10" t="s">
        <v>135</v>
      </c>
      <c r="E46" s="138">
        <f t="shared" si="8"/>
        <v>165</v>
      </c>
      <c r="F46" s="88">
        <f t="shared" si="13"/>
        <v>785</v>
      </c>
      <c r="G46" s="27">
        <f t="shared" si="9"/>
        <v>0.87937284856341724</v>
      </c>
      <c r="H46" s="88">
        <f t="shared" si="10"/>
        <v>0.57558950087787319</v>
      </c>
      <c r="I46" s="148">
        <v>0.56899038558118409</v>
      </c>
      <c r="J46" s="57">
        <v>0.8</v>
      </c>
      <c r="K46" s="95">
        <f t="shared" si="11"/>
        <v>0.69543269348811387</v>
      </c>
      <c r="L46" s="35">
        <f t="shared" si="12"/>
        <v>620.79999999999995</v>
      </c>
    </row>
    <row r="47" spans="1:12" x14ac:dyDescent="0.35">
      <c r="A47" s="61"/>
      <c r="B47" s="17"/>
      <c r="C47" s="17"/>
      <c r="D47" s="10" t="s">
        <v>136</v>
      </c>
      <c r="E47" s="138">
        <f t="shared" si="8"/>
        <v>163.80000000000001</v>
      </c>
      <c r="F47" s="88">
        <f t="shared" si="13"/>
        <v>786.2</v>
      </c>
      <c r="G47" s="27">
        <f t="shared" si="9"/>
        <v>0.88071711279052056</v>
      </c>
      <c r="H47" s="88">
        <f t="shared" si="10"/>
        <v>0.50454831413842671</v>
      </c>
      <c r="I47" s="148">
        <v>0.50454831413842671</v>
      </c>
      <c r="J47" s="57">
        <v>0.8</v>
      </c>
      <c r="K47" s="95">
        <f t="shared" si="11"/>
        <v>0.70457369023241645</v>
      </c>
      <c r="L47" s="35">
        <f t="shared" si="12"/>
        <v>628.96</v>
      </c>
    </row>
    <row r="48" spans="1:12" ht="15" customHeight="1" x14ac:dyDescent="0.35">
      <c r="A48" s="61"/>
      <c r="B48" s="17"/>
      <c r="C48" s="17"/>
      <c r="D48" s="10" t="s">
        <v>137</v>
      </c>
      <c r="E48" s="138">
        <f t="shared" si="8"/>
        <v>164.292</v>
      </c>
      <c r="F48" s="88">
        <f t="shared" si="13"/>
        <v>785.70799999999997</v>
      </c>
      <c r="G48" s="27">
        <f t="shared" si="9"/>
        <v>0.88016596445740813</v>
      </c>
      <c r="H48" s="88">
        <f t="shared" si="10"/>
        <v>0.54896006099214645</v>
      </c>
      <c r="I48" s="148">
        <v>0.54638192429879351</v>
      </c>
      <c r="J48" s="57">
        <v>0.8</v>
      </c>
      <c r="K48" s="95">
        <f t="shared" si="11"/>
        <v>0.70082588156725256</v>
      </c>
      <c r="L48" s="35">
        <f t="shared" si="12"/>
        <v>625.61440000000016</v>
      </c>
    </row>
    <row r="49" spans="1:12" x14ac:dyDescent="0.35">
      <c r="A49" s="19"/>
      <c r="B49" s="17"/>
      <c r="C49" s="17"/>
      <c r="D49" s="10" t="s">
        <v>138</v>
      </c>
      <c r="E49" s="138">
        <f t="shared" si="8"/>
        <v>163.80000000000001</v>
      </c>
      <c r="F49" s="88">
        <f t="shared" si="13"/>
        <v>786.2</v>
      </c>
      <c r="G49" s="27">
        <f t="shared" si="9"/>
        <v>0.88071711279052056</v>
      </c>
      <c r="H49" s="88">
        <f t="shared" si="10"/>
        <v>0.46708627077870862</v>
      </c>
      <c r="I49" s="148">
        <v>0.46708627077870862</v>
      </c>
      <c r="J49" s="57">
        <v>0.8</v>
      </c>
      <c r="K49" s="95">
        <f t="shared" si="11"/>
        <v>0.70457369023241645</v>
      </c>
      <c r="L49" s="35">
        <f t="shared" si="12"/>
        <v>628.96</v>
      </c>
    </row>
    <row r="50" spans="1:12" x14ac:dyDescent="0.35">
      <c r="A50" s="61"/>
      <c r="B50" s="17"/>
      <c r="C50" s="17"/>
      <c r="D50" s="10" t="s">
        <v>139</v>
      </c>
      <c r="E50" s="138">
        <f t="shared" si="8"/>
        <v>163.80000000000001</v>
      </c>
      <c r="F50" s="88">
        <f t="shared" si="13"/>
        <v>786.2</v>
      </c>
      <c r="G50" s="27">
        <f t="shared" si="9"/>
        <v>0.88071711279052056</v>
      </c>
      <c r="H50" s="88">
        <f t="shared" si="10"/>
        <v>0.48628552239967393</v>
      </c>
      <c r="I50" s="148">
        <v>0.48628552239967393</v>
      </c>
      <c r="J50" s="57">
        <v>0.8</v>
      </c>
      <c r="K50" s="95">
        <f t="shared" si="11"/>
        <v>0.70457369023241645</v>
      </c>
      <c r="L50" s="35">
        <f t="shared" si="12"/>
        <v>628.96</v>
      </c>
    </row>
    <row r="51" spans="1:12" x14ac:dyDescent="0.35">
      <c r="A51" s="61"/>
      <c r="B51" s="17"/>
      <c r="C51" s="17"/>
      <c r="D51" s="10" t="s">
        <v>140</v>
      </c>
      <c r="E51" s="138">
        <f t="shared" si="8"/>
        <v>163.80000000000001</v>
      </c>
      <c r="F51" s="88">
        <f t="shared" si="13"/>
        <v>786.2</v>
      </c>
      <c r="G51" s="27">
        <f t="shared" si="9"/>
        <v>0.88071711279052056</v>
      </c>
      <c r="H51" s="88">
        <f t="shared" si="10"/>
        <v>0.51039626626623857</v>
      </c>
      <c r="I51" s="148">
        <v>0.51039626626623857</v>
      </c>
      <c r="J51" s="57">
        <v>0.8</v>
      </c>
      <c r="K51" s="95">
        <f t="shared" si="11"/>
        <v>0.70457369023241645</v>
      </c>
      <c r="L51" s="35">
        <f t="shared" si="12"/>
        <v>628.96</v>
      </c>
    </row>
    <row r="52" spans="1:12" x14ac:dyDescent="0.35">
      <c r="A52" s="61"/>
      <c r="B52" s="17"/>
      <c r="C52" s="17"/>
      <c r="D52" s="196" t="s">
        <v>141</v>
      </c>
      <c r="E52" s="138">
        <f t="shared" si="8"/>
        <v>163.80000000000001</v>
      </c>
      <c r="F52" s="88">
        <f t="shared" ref="F52" si="14">$E$7-E52</f>
        <v>786.2</v>
      </c>
      <c r="G52" s="27">
        <f t="shared" si="9"/>
        <v>0.88071711279052056</v>
      </c>
      <c r="H52" s="88">
        <f t="shared" si="10"/>
        <v>0.53484844906306916</v>
      </c>
      <c r="I52" s="148">
        <v>0.53484844906306916</v>
      </c>
      <c r="J52" s="57">
        <v>0.8</v>
      </c>
      <c r="K52" s="95">
        <f t="shared" si="11"/>
        <v>0.70457369023241645</v>
      </c>
      <c r="L52" s="35">
        <f t="shared" si="12"/>
        <v>628.96</v>
      </c>
    </row>
    <row r="53" spans="1:12" ht="15.75" customHeight="1" thickBot="1" x14ac:dyDescent="0.4">
      <c r="A53" s="61"/>
      <c r="B53" s="17"/>
      <c r="C53" s="17"/>
      <c r="D53" s="11" t="s">
        <v>142</v>
      </c>
      <c r="E53" s="139">
        <f t="shared" si="8"/>
        <v>163.80000000000001</v>
      </c>
      <c r="F53" s="89">
        <f t="shared" si="13"/>
        <v>786.2</v>
      </c>
      <c r="G53" s="28">
        <f t="shared" si="9"/>
        <v>0.88071711279052056</v>
      </c>
      <c r="H53" s="89">
        <f t="shared" si="10"/>
        <v>0.50713077511930171</v>
      </c>
      <c r="I53" s="149">
        <v>0.50713077511930171</v>
      </c>
      <c r="J53" s="58">
        <v>0.8</v>
      </c>
      <c r="K53" s="96">
        <f t="shared" si="11"/>
        <v>0.70457369023241645</v>
      </c>
      <c r="L53" s="36">
        <f t="shared" si="12"/>
        <v>628.96</v>
      </c>
    </row>
    <row r="54" spans="1:12" ht="15.75" customHeight="1" thickBot="1" x14ac:dyDescent="0.4">
      <c r="A54" s="61"/>
      <c r="B54" s="17"/>
      <c r="C54" s="17"/>
      <c r="D54"/>
      <c r="E54"/>
      <c r="F54"/>
      <c r="G54"/>
      <c r="H54"/>
      <c r="I54"/>
      <c r="J54"/>
      <c r="K54"/>
      <c r="L54"/>
    </row>
    <row r="55" spans="1:12" ht="15" thickBot="1" x14ac:dyDescent="0.4">
      <c r="A55" s="61"/>
      <c r="B55" s="17"/>
      <c r="C55" s="17"/>
      <c r="D55" s="157" t="s">
        <v>144</v>
      </c>
      <c r="E55" s="182">
        <f t="shared" ref="E55" si="15">G23</f>
        <v>0</v>
      </c>
      <c r="F55" s="183">
        <f t="shared" si="13"/>
        <v>950</v>
      </c>
      <c r="G55" s="160">
        <f>F55/$E$76</f>
        <v>1.0642091797901228</v>
      </c>
      <c r="H55" s="183" t="e">
        <f t="shared" ref="H55" si="16">G55/H39</f>
        <v>#DIV/0!</v>
      </c>
      <c r="I55" s="184"/>
      <c r="J55" s="161"/>
      <c r="K55" s="185" t="e">
        <f t="shared" ref="K55" si="17">I55*H39*J55</f>
        <v>#DIV/0!</v>
      </c>
      <c r="L55" s="181" t="e">
        <f>K55*$E$76</f>
        <v>#DIV/0!</v>
      </c>
    </row>
    <row r="56" spans="1:12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.5" x14ac:dyDescent="0.35">
      <c r="C57" s="63" t="s">
        <v>45</v>
      </c>
      <c r="D57" s="17"/>
      <c r="E57" s="17"/>
      <c r="F57" s="17"/>
      <c r="G57" s="17"/>
      <c r="H57" s="17"/>
      <c r="I57" s="17"/>
      <c r="J57" s="17"/>
      <c r="K57" s="17"/>
    </row>
    <row r="58" spans="1:12" ht="15" customHeight="1" x14ac:dyDescent="0.35">
      <c r="C58" s="17"/>
      <c r="D58" s="17"/>
      <c r="E58" s="17"/>
      <c r="F58"/>
      <c r="G58"/>
      <c r="H58"/>
      <c r="I58"/>
    </row>
    <row r="59" spans="1:12" ht="15" thickBot="1" x14ac:dyDescent="0.4">
      <c r="C59" s="17"/>
      <c r="D59" s="17"/>
      <c r="E59" s="64"/>
      <c r="F59"/>
      <c r="G59"/>
      <c r="H59"/>
      <c r="I59"/>
    </row>
    <row r="60" spans="1:12" ht="43.5" x14ac:dyDescent="0.35">
      <c r="C60" s="17"/>
      <c r="D60" s="23" t="s">
        <v>105</v>
      </c>
      <c r="E60" s="26" t="s">
        <v>18</v>
      </c>
      <c r="F60" s="137" t="s">
        <v>27</v>
      </c>
      <c r="G60" s="12" t="s">
        <v>49</v>
      </c>
      <c r="H60" s="13" t="s">
        <v>81</v>
      </c>
      <c r="I60" s="9" t="s">
        <v>17</v>
      </c>
    </row>
    <row r="61" spans="1:12" x14ac:dyDescent="0.35">
      <c r="C61" s="17"/>
      <c r="D61" s="24" t="s">
        <v>133</v>
      </c>
      <c r="E61" s="229">
        <v>2</v>
      </c>
      <c r="F61" s="33">
        <f t="shared" ref="F61:F70" si="18">I12*E61/$E$76</f>
        <v>3.6967266245341107E-2</v>
      </c>
      <c r="G61" s="120">
        <f t="shared" ref="G61:G68" si="19">I44</f>
        <v>0.51984171440141402</v>
      </c>
      <c r="H61" s="123">
        <f t="shared" ref="H61:H70" si="20">E61*K44</f>
        <v>1.3908653869762277</v>
      </c>
      <c r="I61" s="30">
        <f>F61+H61</f>
        <v>1.4278326532215688</v>
      </c>
    </row>
    <row r="62" spans="1:12" x14ac:dyDescent="0.35">
      <c r="C62" s="17"/>
      <c r="D62" s="24" t="s">
        <v>134</v>
      </c>
      <c r="E62" s="229">
        <v>5</v>
      </c>
      <c r="F62" s="33">
        <f t="shared" si="18"/>
        <v>9.2418165613352768E-2</v>
      </c>
      <c r="G62" s="120">
        <f t="shared" si="19"/>
        <v>0.55251538147890411</v>
      </c>
      <c r="H62" s="123">
        <f t="shared" si="20"/>
        <v>3.4771634674405698</v>
      </c>
      <c r="I62" s="30">
        <f t="shared" ref="I62:I72" si="21">F62+H62</f>
        <v>3.5695816330539225</v>
      </c>
    </row>
    <row r="63" spans="1:12" x14ac:dyDescent="0.35">
      <c r="C63" s="17"/>
      <c r="D63" s="24" t="s">
        <v>135</v>
      </c>
      <c r="E63" s="229">
        <v>118</v>
      </c>
      <c r="F63" s="33">
        <f t="shared" si="18"/>
        <v>2.1810687084751255</v>
      </c>
      <c r="G63" s="120">
        <f t="shared" si="19"/>
        <v>0.56899038558118409</v>
      </c>
      <c r="H63" s="123">
        <f t="shared" si="20"/>
        <v>82.061057831597438</v>
      </c>
      <c r="I63" s="30">
        <f t="shared" si="21"/>
        <v>84.242126540072562</v>
      </c>
    </row>
    <row r="64" spans="1:12" x14ac:dyDescent="0.35">
      <c r="C64" s="17"/>
      <c r="D64" s="24" t="s">
        <v>136</v>
      </c>
      <c r="E64" s="229">
        <v>8</v>
      </c>
      <c r="F64" s="33">
        <f t="shared" si="18"/>
        <v>0.1467936535996818</v>
      </c>
      <c r="G64" s="120">
        <f t="shared" si="19"/>
        <v>0.50454831413842671</v>
      </c>
      <c r="H64" s="123">
        <f t="shared" si="20"/>
        <v>5.6365895218593316</v>
      </c>
      <c r="I64" s="30">
        <f t="shared" si="21"/>
        <v>5.7833831754590133</v>
      </c>
    </row>
    <row r="65" spans="3:10" x14ac:dyDescent="0.35">
      <c r="C65" s="17"/>
      <c r="D65" s="24" t="s">
        <v>137</v>
      </c>
      <c r="E65" s="229">
        <v>234</v>
      </c>
      <c r="F65" s="33">
        <f t="shared" si="18"/>
        <v>4.3066112387855213</v>
      </c>
      <c r="G65" s="120">
        <f t="shared" si="19"/>
        <v>0.54638192429879351</v>
      </c>
      <c r="H65" s="123">
        <f t="shared" si="20"/>
        <v>163.99325628673711</v>
      </c>
      <c r="I65" s="30">
        <f t="shared" si="21"/>
        <v>168.29986752552264</v>
      </c>
    </row>
    <row r="66" spans="3:10" x14ac:dyDescent="0.35">
      <c r="C66" s="17"/>
      <c r="D66" s="24" t="s">
        <v>138</v>
      </c>
      <c r="E66" s="229">
        <v>4</v>
      </c>
      <c r="F66" s="33">
        <f t="shared" si="18"/>
        <v>7.33968267998409E-2</v>
      </c>
      <c r="G66" s="120">
        <f t="shared" si="19"/>
        <v>0.46708627077870862</v>
      </c>
      <c r="H66" s="123">
        <f t="shared" si="20"/>
        <v>2.8182947609296658</v>
      </c>
      <c r="I66" s="30">
        <f t="shared" si="21"/>
        <v>2.8916915877295066</v>
      </c>
    </row>
    <row r="67" spans="3:10" x14ac:dyDescent="0.35">
      <c r="C67" s="17"/>
      <c r="D67" s="24" t="s">
        <v>139</v>
      </c>
      <c r="E67" s="229">
        <v>15</v>
      </c>
      <c r="F67" s="33">
        <f t="shared" si="18"/>
        <v>0.27523810049940339</v>
      </c>
      <c r="G67" s="120">
        <f t="shared" si="19"/>
        <v>0.48628552239967393</v>
      </c>
      <c r="H67" s="123">
        <f t="shared" si="20"/>
        <v>10.568605353486246</v>
      </c>
      <c r="I67" s="30">
        <f t="shared" si="21"/>
        <v>10.843843453985651</v>
      </c>
    </row>
    <row r="68" spans="3:10" x14ac:dyDescent="0.35">
      <c r="C68" s="17"/>
      <c r="D68" s="24" t="s">
        <v>140</v>
      </c>
      <c r="E68" s="229">
        <v>6</v>
      </c>
      <c r="F68" s="33">
        <f t="shared" si="18"/>
        <v>0.11009524019976134</v>
      </c>
      <c r="G68" s="120">
        <f t="shared" si="19"/>
        <v>0.51039626626623857</v>
      </c>
      <c r="H68" s="123">
        <f t="shared" si="20"/>
        <v>4.2274421413944987</v>
      </c>
      <c r="I68" s="30">
        <f t="shared" si="21"/>
        <v>4.3375373815942604</v>
      </c>
    </row>
    <row r="69" spans="3:10" x14ac:dyDescent="0.35">
      <c r="C69" s="17"/>
      <c r="D69" s="208" t="s">
        <v>141</v>
      </c>
      <c r="E69" s="229">
        <v>235</v>
      </c>
      <c r="F69" s="33">
        <f t="shared" si="18"/>
        <v>4.3120635744906526</v>
      </c>
      <c r="G69" s="120">
        <f t="shared" ref="G69" si="22">I52</f>
        <v>0.53484844906306916</v>
      </c>
      <c r="H69" s="123">
        <f t="shared" si="20"/>
        <v>165.57481720461786</v>
      </c>
      <c r="I69" s="30">
        <f t="shared" ref="I69" si="23">F69+H69</f>
        <v>169.88688077910851</v>
      </c>
    </row>
    <row r="70" spans="3:10" ht="15" thickBot="1" x14ac:dyDescent="0.4">
      <c r="C70" s="17"/>
      <c r="D70" s="25" t="s">
        <v>142</v>
      </c>
      <c r="E70" s="230">
        <v>340</v>
      </c>
      <c r="F70" s="119">
        <f t="shared" si="18"/>
        <v>6.2387302779864759</v>
      </c>
      <c r="G70" s="121">
        <f>I53</f>
        <v>0.50713077511930171</v>
      </c>
      <c r="H70" s="124">
        <f t="shared" si="20"/>
        <v>239.55505467902159</v>
      </c>
      <c r="I70" s="32">
        <f t="shared" si="21"/>
        <v>245.79378495700806</v>
      </c>
    </row>
    <row r="71" spans="3:10" ht="15" thickBot="1" x14ac:dyDescent="0.4">
      <c r="C71" s="17"/>
      <c r="D71"/>
      <c r="E71"/>
      <c r="F71"/>
      <c r="G71"/>
      <c r="H71"/>
      <c r="I71"/>
    </row>
    <row r="72" spans="3:10" ht="15" thickBot="1" x14ac:dyDescent="0.4">
      <c r="C72" s="17"/>
      <c r="D72" s="157" t="s">
        <v>144</v>
      </c>
      <c r="E72" s="178"/>
      <c r="F72" s="179">
        <f>I23*E72/$E$76</f>
        <v>0</v>
      </c>
      <c r="G72" s="186">
        <f t="shared" ref="G72" si="24">I55</f>
        <v>0</v>
      </c>
      <c r="H72" s="187" t="e">
        <f t="shared" ref="H72" si="25">E72*K55</f>
        <v>#DIV/0!</v>
      </c>
      <c r="I72" s="163" t="e">
        <f t="shared" si="21"/>
        <v>#DIV/0!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95</v>
      </c>
    </row>
    <row r="76" spans="3:10" x14ac:dyDescent="0.35">
      <c r="D76" s="99" t="s">
        <v>70</v>
      </c>
      <c r="E76" s="100">
        <f>(7.48*43560)/365</f>
        <v>892.68164383561657</v>
      </c>
      <c r="F76" s="21" t="s">
        <v>71</v>
      </c>
    </row>
    <row r="77" spans="3:10" x14ac:dyDescent="0.35">
      <c r="D77" s="99" t="s">
        <v>70</v>
      </c>
      <c r="E77" s="100">
        <f>43560/(365*24*3600)</f>
        <v>1.3812785388127853E-3</v>
      </c>
      <c r="F77" s="21" t="s">
        <v>72</v>
      </c>
    </row>
  </sheetData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L77"/>
  <sheetViews>
    <sheetView topLeftCell="A71" zoomScaleNormal="100" zoomScaleSheetLayoutView="100" workbookViewId="0">
      <selection activeCell="C18" sqref="C18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9.453125" style="21" customWidth="1"/>
    <col min="6" max="12" width="17.7265625" style="21" customWidth="1"/>
    <col min="13" max="16384" width="9.1796875" style="21"/>
  </cols>
  <sheetData>
    <row r="1" spans="1:12" x14ac:dyDescent="0.35">
      <c r="G1" s="134"/>
    </row>
    <row r="2" spans="1:12" x14ac:dyDescent="0.35">
      <c r="A2" s="133" t="s">
        <v>122</v>
      </c>
      <c r="G2" s="134"/>
    </row>
    <row r="3" spans="1:12" x14ac:dyDescent="0.35">
      <c r="A3" s="133" t="s">
        <v>111</v>
      </c>
      <c r="G3" s="134"/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88</v>
      </c>
      <c r="H6" s="17"/>
      <c r="I6" s="17"/>
      <c r="J6" s="17"/>
      <c r="K6" s="17"/>
      <c r="L6" s="17"/>
    </row>
    <row r="7" spans="1:12" ht="15.5" x14ac:dyDescent="0.35">
      <c r="A7" s="17"/>
      <c r="B7" s="17"/>
      <c r="C7" s="63" t="s">
        <v>60</v>
      </c>
      <c r="D7" s="17"/>
      <c r="E7" s="84">
        <v>950</v>
      </c>
      <c r="F7" s="17"/>
      <c r="G7" s="17"/>
      <c r="H7" s="17"/>
      <c r="I7" s="17"/>
      <c r="J7" s="17"/>
      <c r="K7" s="17"/>
      <c r="L7" s="17"/>
    </row>
    <row r="8" spans="1:1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5.5" x14ac:dyDescent="0.35">
      <c r="A9" s="17"/>
      <c r="B9" s="17"/>
      <c r="C9" s="63" t="s">
        <v>67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ht="15" thickBot="1" x14ac:dyDescent="0.4">
      <c r="A10" s="18"/>
      <c r="B10" s="18"/>
      <c r="C10" s="17"/>
      <c r="D10" s="17"/>
      <c r="E10" s="64"/>
      <c r="F10" s="64"/>
      <c r="G10" s="65"/>
      <c r="H10" s="65"/>
      <c r="I10" s="65"/>
      <c r="K10" s="17"/>
      <c r="L10" s="17"/>
    </row>
    <row r="11" spans="1:12" ht="43.5" x14ac:dyDescent="0.35">
      <c r="A11" s="17"/>
      <c r="B11" s="17"/>
      <c r="C11" s="17"/>
      <c r="D11" s="135" t="s">
        <v>105</v>
      </c>
      <c r="E11" s="12" t="s">
        <v>12</v>
      </c>
      <c r="F11" s="13" t="s">
        <v>2</v>
      </c>
      <c r="G11" s="13" t="s">
        <v>80</v>
      </c>
      <c r="H11" s="13" t="s">
        <v>13</v>
      </c>
      <c r="I11" s="9" t="s">
        <v>14</v>
      </c>
      <c r="K11" s="17"/>
      <c r="L11" s="17"/>
    </row>
    <row r="12" spans="1:12" ht="15" customHeight="1" x14ac:dyDescent="0.35">
      <c r="A12" s="61"/>
      <c r="B12" s="19"/>
      <c r="C12" s="17"/>
      <c r="D12" s="10" t="s">
        <v>133</v>
      </c>
      <c r="E12" s="53">
        <v>60</v>
      </c>
      <c r="F12" s="226">
        <v>2.75</v>
      </c>
      <c r="G12" s="29">
        <f>E12*F12</f>
        <v>165</v>
      </c>
      <c r="H12" s="57">
        <v>0.1</v>
      </c>
      <c r="I12" s="35">
        <f>G12*H12</f>
        <v>16.5</v>
      </c>
      <c r="K12" s="17"/>
      <c r="L12" s="17"/>
    </row>
    <row r="13" spans="1:12" ht="15" customHeight="1" x14ac:dyDescent="0.35">
      <c r="A13" s="61"/>
      <c r="B13" s="19"/>
      <c r="C13" s="17"/>
      <c r="D13" s="10" t="s">
        <v>134</v>
      </c>
      <c r="E13" s="53">
        <v>60</v>
      </c>
      <c r="F13" s="226">
        <v>2.75</v>
      </c>
      <c r="G13" s="29">
        <f t="shared" ref="G13:G23" si="0">E13*F13</f>
        <v>165</v>
      </c>
      <c r="H13" s="57">
        <v>0.1</v>
      </c>
      <c r="I13" s="35">
        <f t="shared" ref="I13:I23" si="1">G13*H13</f>
        <v>16.5</v>
      </c>
      <c r="K13" s="17"/>
      <c r="L13" s="17"/>
    </row>
    <row r="14" spans="1:12" x14ac:dyDescent="0.35">
      <c r="A14" s="62"/>
      <c r="B14" s="17"/>
      <c r="C14" s="17"/>
      <c r="D14" s="10" t="s">
        <v>135</v>
      </c>
      <c r="E14" s="53">
        <v>60</v>
      </c>
      <c r="F14" s="226">
        <v>2.75</v>
      </c>
      <c r="G14" s="29">
        <f t="shared" si="0"/>
        <v>165</v>
      </c>
      <c r="H14" s="57">
        <v>0.1</v>
      </c>
      <c r="I14" s="35">
        <f t="shared" si="1"/>
        <v>16.5</v>
      </c>
      <c r="K14" s="17"/>
      <c r="L14" s="17"/>
    </row>
    <row r="15" spans="1:12" x14ac:dyDescent="0.35">
      <c r="A15" s="62"/>
      <c r="B15" s="17"/>
      <c r="C15" s="17"/>
      <c r="D15" s="20" t="s">
        <v>136</v>
      </c>
      <c r="E15" s="53">
        <v>60</v>
      </c>
      <c r="F15" s="226">
        <v>2.73</v>
      </c>
      <c r="G15" s="29">
        <f t="shared" si="0"/>
        <v>163.80000000000001</v>
      </c>
      <c r="H15" s="57">
        <v>0.1</v>
      </c>
      <c r="I15" s="35">
        <f t="shared" si="1"/>
        <v>16.380000000000003</v>
      </c>
      <c r="K15" s="17"/>
      <c r="L15" s="17"/>
    </row>
    <row r="16" spans="1:12" ht="15" customHeight="1" x14ac:dyDescent="0.35">
      <c r="A16" s="62"/>
      <c r="B16" s="17"/>
      <c r="C16" s="17"/>
      <c r="D16" s="10" t="s">
        <v>137</v>
      </c>
      <c r="E16" s="53">
        <v>60</v>
      </c>
      <c r="F16" s="226">
        <v>2.7382</v>
      </c>
      <c r="G16" s="29">
        <f t="shared" si="0"/>
        <v>164.292</v>
      </c>
      <c r="H16" s="57">
        <v>0.1</v>
      </c>
      <c r="I16" s="35">
        <f t="shared" si="1"/>
        <v>16.429200000000002</v>
      </c>
      <c r="K16" s="17"/>
      <c r="L16" s="17"/>
    </row>
    <row r="17" spans="1:12" ht="15" customHeight="1" x14ac:dyDescent="0.35">
      <c r="A17" s="62"/>
      <c r="B17" s="17"/>
      <c r="C17" s="17"/>
      <c r="D17" s="10" t="s">
        <v>138</v>
      </c>
      <c r="E17" s="53">
        <v>60</v>
      </c>
      <c r="F17" s="226">
        <v>2.73</v>
      </c>
      <c r="G17" s="29">
        <f t="shared" si="0"/>
        <v>163.80000000000001</v>
      </c>
      <c r="H17" s="57">
        <v>0.1</v>
      </c>
      <c r="I17" s="35">
        <f t="shared" si="1"/>
        <v>16.380000000000003</v>
      </c>
      <c r="K17" s="17"/>
      <c r="L17" s="17"/>
    </row>
    <row r="18" spans="1:12" x14ac:dyDescent="0.35">
      <c r="A18" s="62"/>
      <c r="B18" s="17"/>
      <c r="C18" s="17"/>
      <c r="D18" s="10" t="s">
        <v>139</v>
      </c>
      <c r="E18" s="53">
        <v>60</v>
      </c>
      <c r="F18" s="226">
        <v>2.73</v>
      </c>
      <c r="G18" s="29">
        <f t="shared" si="0"/>
        <v>163.80000000000001</v>
      </c>
      <c r="H18" s="57">
        <v>0.1</v>
      </c>
      <c r="I18" s="35">
        <f t="shared" si="1"/>
        <v>16.380000000000003</v>
      </c>
      <c r="K18" s="17"/>
      <c r="L18" s="17"/>
    </row>
    <row r="19" spans="1:12" x14ac:dyDescent="0.35">
      <c r="A19" s="62"/>
      <c r="B19" s="17"/>
      <c r="C19" s="17"/>
      <c r="D19" s="10" t="s">
        <v>140</v>
      </c>
      <c r="E19" s="53">
        <v>60</v>
      </c>
      <c r="F19" s="226">
        <v>2.73</v>
      </c>
      <c r="G19" s="29">
        <f t="shared" si="0"/>
        <v>163.80000000000001</v>
      </c>
      <c r="H19" s="57">
        <v>0.1</v>
      </c>
      <c r="I19" s="35">
        <f t="shared" si="1"/>
        <v>16.380000000000003</v>
      </c>
      <c r="K19" s="17"/>
      <c r="L19" s="17"/>
    </row>
    <row r="20" spans="1:12" x14ac:dyDescent="0.35">
      <c r="A20" s="62"/>
      <c r="B20" s="17"/>
      <c r="C20" s="17"/>
      <c r="D20" s="196" t="s">
        <v>141</v>
      </c>
      <c r="E20" s="205">
        <v>60</v>
      </c>
      <c r="F20" s="227">
        <v>2.73</v>
      </c>
      <c r="G20" s="29">
        <f t="shared" ref="G20" si="2">E20*F20</f>
        <v>163.80000000000001</v>
      </c>
      <c r="H20" s="57">
        <v>0.1</v>
      </c>
      <c r="I20" s="35">
        <f t="shared" ref="I20" si="3">G20*H20</f>
        <v>16.380000000000003</v>
      </c>
      <c r="K20" s="17"/>
      <c r="L20" s="17"/>
    </row>
    <row r="21" spans="1:12" ht="15.75" customHeight="1" thickBot="1" x14ac:dyDescent="0.4">
      <c r="A21" s="62"/>
      <c r="B21" s="17"/>
      <c r="C21" s="17"/>
      <c r="D21" s="11" t="s">
        <v>142</v>
      </c>
      <c r="E21" s="55">
        <v>60</v>
      </c>
      <c r="F21" s="228">
        <v>2.73</v>
      </c>
      <c r="G21" s="29">
        <f t="shared" si="0"/>
        <v>163.80000000000001</v>
      </c>
      <c r="H21" s="58">
        <v>0.1</v>
      </c>
      <c r="I21" s="36">
        <f t="shared" si="1"/>
        <v>16.380000000000003</v>
      </c>
      <c r="K21" s="17"/>
      <c r="L21" s="17"/>
    </row>
    <row r="22" spans="1:12" ht="15.75" customHeight="1" thickBot="1" x14ac:dyDescent="0.4">
      <c r="A22" s="62"/>
      <c r="B22" s="17"/>
      <c r="C22" s="17"/>
      <c r="D22"/>
      <c r="E22"/>
      <c r="F22"/>
      <c r="G22"/>
      <c r="H22"/>
      <c r="I22"/>
      <c r="K22" s="17"/>
      <c r="L22" s="17"/>
    </row>
    <row r="23" spans="1:12" ht="15" customHeight="1" thickBot="1" x14ac:dyDescent="0.4">
      <c r="A23" s="62"/>
      <c r="B23" s="17"/>
      <c r="C23" s="17"/>
      <c r="D23" s="157" t="s">
        <v>144</v>
      </c>
      <c r="E23" s="158"/>
      <c r="F23" s="159"/>
      <c r="G23" s="162">
        <f t="shared" si="0"/>
        <v>0</v>
      </c>
      <c r="H23" s="161"/>
      <c r="I23" s="181">
        <f t="shared" si="1"/>
        <v>0</v>
      </c>
      <c r="K23" s="17"/>
      <c r="L23" s="17"/>
    </row>
    <row r="24" spans="1:12" ht="15" customHeight="1" x14ac:dyDescent="0.35">
      <c r="A24" s="62"/>
      <c r="B24" s="17"/>
      <c r="C24" s="17"/>
      <c r="D24" s="17"/>
      <c r="E24" s="1"/>
      <c r="F24" s="17"/>
      <c r="G24" s="17"/>
      <c r="H24" s="17"/>
      <c r="I24" s="17"/>
      <c r="J24" s="17"/>
      <c r="K24" s="17"/>
      <c r="L24" s="17"/>
    </row>
    <row r="25" spans="1:12" ht="15.5" x14ac:dyDescent="0.35">
      <c r="A25" s="62"/>
      <c r="B25" s="17"/>
      <c r="C25" s="63" t="s">
        <v>58</v>
      </c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" thickBot="1" x14ac:dyDescent="0.4">
      <c r="A26" s="62"/>
      <c r="B26" s="17"/>
      <c r="C26" s="17"/>
      <c r="D26" s="17"/>
      <c r="E26" s="64"/>
      <c r="F26" s="64"/>
      <c r="G26" s="65"/>
      <c r="H26" s="65"/>
      <c r="I26" s="17"/>
      <c r="J26" s="17"/>
      <c r="K26" s="17"/>
      <c r="L26" s="17"/>
    </row>
    <row r="27" spans="1:12" ht="58" x14ac:dyDescent="0.35">
      <c r="A27" s="61"/>
      <c r="B27" s="17"/>
      <c r="C27" s="17"/>
      <c r="D27" s="135" t="s">
        <v>105</v>
      </c>
      <c r="E27" s="12" t="s">
        <v>97</v>
      </c>
      <c r="F27" s="13" t="s">
        <v>16</v>
      </c>
      <c r="G27" s="13" t="s">
        <v>98</v>
      </c>
      <c r="H27" s="9" t="s">
        <v>99</v>
      </c>
      <c r="I27" s="17"/>
      <c r="J27" s="17"/>
    </row>
    <row r="28" spans="1:12" x14ac:dyDescent="0.35">
      <c r="A28" s="61"/>
      <c r="B28" s="17"/>
      <c r="C28" s="17"/>
      <c r="D28" s="10" t="s">
        <v>133</v>
      </c>
      <c r="E28" s="53">
        <v>11.99</v>
      </c>
      <c r="F28" s="57">
        <v>0.75</v>
      </c>
      <c r="G28" s="29">
        <f>E28/F28</f>
        <v>15.986666666666666</v>
      </c>
      <c r="H28" s="35">
        <f>G28/12</f>
        <v>1.3322222222222222</v>
      </c>
      <c r="I28" s="17"/>
      <c r="J28" s="17"/>
    </row>
    <row r="29" spans="1:12" x14ac:dyDescent="0.35">
      <c r="A29" s="17"/>
      <c r="B29" s="17"/>
      <c r="C29" s="17"/>
      <c r="D29" s="10" t="s">
        <v>134</v>
      </c>
      <c r="E29" s="53">
        <v>11.44</v>
      </c>
      <c r="F29" s="57">
        <v>0.75</v>
      </c>
      <c r="G29" s="29">
        <f t="shared" ref="G29:G39" si="4">E29/F29</f>
        <v>15.253333333333332</v>
      </c>
      <c r="H29" s="35">
        <f t="shared" ref="H29:H39" si="5">G29/12</f>
        <v>1.2711111111111111</v>
      </c>
      <c r="I29" s="17"/>
      <c r="J29" s="17"/>
    </row>
    <row r="30" spans="1:12" x14ac:dyDescent="0.35">
      <c r="A30" s="17"/>
      <c r="B30" s="17"/>
      <c r="C30" s="17"/>
      <c r="D30" s="10" t="s">
        <v>135</v>
      </c>
      <c r="E30" s="53">
        <v>11.22</v>
      </c>
      <c r="F30" s="57">
        <v>0.75</v>
      </c>
      <c r="G30" s="29">
        <f t="shared" si="4"/>
        <v>14.96</v>
      </c>
      <c r="H30" s="35">
        <f t="shared" si="5"/>
        <v>1.2466666666666668</v>
      </c>
      <c r="I30" s="17"/>
      <c r="J30" s="17"/>
    </row>
    <row r="31" spans="1:12" x14ac:dyDescent="0.35">
      <c r="A31" s="17"/>
      <c r="B31" s="17"/>
      <c r="C31" s="17"/>
      <c r="D31" s="20" t="s">
        <v>136</v>
      </c>
      <c r="E31" s="53">
        <v>12.45</v>
      </c>
      <c r="F31" s="57">
        <v>0.75</v>
      </c>
      <c r="G31" s="29">
        <f t="shared" si="4"/>
        <v>16.599999999999998</v>
      </c>
      <c r="H31" s="35">
        <f t="shared" si="5"/>
        <v>1.3833333333333331</v>
      </c>
      <c r="I31" s="17"/>
      <c r="J31" s="17"/>
    </row>
    <row r="32" spans="1:12" x14ac:dyDescent="0.35">
      <c r="A32" s="17"/>
      <c r="B32" s="17"/>
      <c r="C32" s="17"/>
      <c r="D32" s="10" t="s">
        <v>137</v>
      </c>
      <c r="E32" s="53">
        <v>11.7</v>
      </c>
      <c r="F32" s="57">
        <v>0.75</v>
      </c>
      <c r="G32" s="29">
        <f t="shared" si="4"/>
        <v>15.6</v>
      </c>
      <c r="H32" s="35">
        <f t="shared" si="5"/>
        <v>1.3</v>
      </c>
      <c r="I32" s="17"/>
      <c r="J32" s="17"/>
    </row>
    <row r="33" spans="1:12" x14ac:dyDescent="0.35">
      <c r="A33" s="17"/>
      <c r="B33" s="17"/>
      <c r="C33" s="17"/>
      <c r="D33" s="10" t="s">
        <v>138</v>
      </c>
      <c r="E33" s="53">
        <v>13.22</v>
      </c>
      <c r="F33" s="57">
        <v>0.75</v>
      </c>
      <c r="G33" s="29">
        <f t="shared" si="4"/>
        <v>17.626666666666669</v>
      </c>
      <c r="H33" s="35">
        <f t="shared" si="5"/>
        <v>1.4688888888888891</v>
      </c>
      <c r="I33" s="17"/>
      <c r="J33" s="17"/>
    </row>
    <row r="34" spans="1:12" x14ac:dyDescent="0.35">
      <c r="A34" s="17"/>
      <c r="B34" s="17"/>
      <c r="C34" s="17"/>
      <c r="D34" s="10" t="s">
        <v>139</v>
      </c>
      <c r="E34" s="53">
        <v>12.88</v>
      </c>
      <c r="F34" s="57">
        <v>0.75</v>
      </c>
      <c r="G34" s="29">
        <f t="shared" si="4"/>
        <v>17.173333333333336</v>
      </c>
      <c r="H34" s="35">
        <f t="shared" si="5"/>
        <v>1.4311111111111112</v>
      </c>
      <c r="I34" s="17"/>
      <c r="J34" s="17"/>
    </row>
    <row r="35" spans="1:12" x14ac:dyDescent="0.35">
      <c r="A35" s="17"/>
      <c r="B35" s="17"/>
      <c r="C35" s="17"/>
      <c r="D35" s="10" t="s">
        <v>140</v>
      </c>
      <c r="E35" s="53">
        <v>12.43</v>
      </c>
      <c r="F35" s="57">
        <v>0.75</v>
      </c>
      <c r="G35" s="29">
        <f t="shared" si="4"/>
        <v>16.573333333333334</v>
      </c>
      <c r="H35" s="35">
        <f t="shared" si="5"/>
        <v>1.3811111111111112</v>
      </c>
      <c r="I35" s="17"/>
      <c r="J35" s="17"/>
      <c r="K35" s="101"/>
      <c r="L35" s="101"/>
    </row>
    <row r="36" spans="1:12" x14ac:dyDescent="0.35">
      <c r="A36" s="17"/>
      <c r="B36" s="17"/>
      <c r="C36" s="17"/>
      <c r="D36" s="196" t="s">
        <v>141</v>
      </c>
      <c r="E36" s="205">
        <v>12.05</v>
      </c>
      <c r="F36" s="207">
        <v>0.75</v>
      </c>
      <c r="G36" s="29">
        <f t="shared" ref="G36" si="6">E36/F36</f>
        <v>16.066666666666666</v>
      </c>
      <c r="H36" s="35">
        <f t="shared" ref="H36" si="7">G36/12</f>
        <v>1.3388888888888888</v>
      </c>
      <c r="I36" s="17"/>
      <c r="J36" s="17"/>
      <c r="K36" s="101"/>
      <c r="L36" s="101"/>
    </row>
    <row r="37" spans="1:12" ht="15" thickBot="1" x14ac:dyDescent="0.4">
      <c r="A37" s="17"/>
      <c r="B37" s="17"/>
      <c r="C37" s="17"/>
      <c r="D37" s="11" t="s">
        <v>142</v>
      </c>
      <c r="E37" s="55">
        <v>12.51</v>
      </c>
      <c r="F37" s="58">
        <v>0.75</v>
      </c>
      <c r="G37" s="31">
        <f t="shared" si="4"/>
        <v>16.68</v>
      </c>
      <c r="H37" s="36">
        <f t="shared" si="5"/>
        <v>1.39</v>
      </c>
      <c r="I37" s="17"/>
      <c r="J37" s="17"/>
    </row>
    <row r="38" spans="1:12" ht="15" thickBot="1" x14ac:dyDescent="0.4">
      <c r="A38" s="17"/>
      <c r="B38" s="17"/>
      <c r="C38" s="17"/>
      <c r="D38"/>
      <c r="E38"/>
      <c r="F38"/>
      <c r="G38"/>
      <c r="H38"/>
      <c r="I38" s="17"/>
      <c r="J38" s="17"/>
    </row>
    <row r="39" spans="1:12" ht="15" thickBot="1" x14ac:dyDescent="0.4">
      <c r="A39" s="17"/>
      <c r="B39" s="17"/>
      <c r="C39" s="17"/>
      <c r="D39" s="157" t="s">
        <v>144</v>
      </c>
      <c r="E39" s="177"/>
      <c r="F39" s="161"/>
      <c r="G39" s="162" t="e">
        <f t="shared" si="4"/>
        <v>#DIV/0!</v>
      </c>
      <c r="H39" s="181" t="e">
        <f t="shared" si="5"/>
        <v>#DIV/0!</v>
      </c>
      <c r="I39" s="17"/>
      <c r="J39" s="17"/>
    </row>
    <row r="40" spans="1:1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ht="15.5" x14ac:dyDescent="0.35">
      <c r="A41" s="17"/>
      <c r="B41" s="17"/>
      <c r="C41" s="63" t="s">
        <v>66</v>
      </c>
      <c r="D41" s="17"/>
      <c r="E41" s="17"/>
      <c r="F41" s="17"/>
      <c r="G41" s="17"/>
      <c r="H41" s="17"/>
      <c r="I41" s="17"/>
      <c r="J41" s="17"/>
      <c r="K41" s="17"/>
      <c r="L41" s="38"/>
    </row>
    <row r="42" spans="1:12" ht="15" thickBot="1" x14ac:dyDescent="0.4">
      <c r="A42" s="17"/>
      <c r="B42" s="17"/>
      <c r="C42" s="17"/>
      <c r="D42" s="17"/>
      <c r="E42" s="64"/>
      <c r="F42" s="64"/>
      <c r="G42" s="65"/>
      <c r="H42" s="65"/>
      <c r="I42" s="65"/>
      <c r="J42" s="65"/>
      <c r="K42" s="65"/>
      <c r="L42" s="65"/>
    </row>
    <row r="43" spans="1:12" ht="43.5" x14ac:dyDescent="0.35">
      <c r="A43" s="17"/>
      <c r="B43" s="17"/>
      <c r="C43" s="17"/>
      <c r="D43" s="135" t="s">
        <v>105</v>
      </c>
      <c r="E43" s="12" t="s">
        <v>61</v>
      </c>
      <c r="F43" s="13" t="s">
        <v>62</v>
      </c>
      <c r="G43" s="13" t="s">
        <v>63</v>
      </c>
      <c r="H43" s="13" t="s">
        <v>64</v>
      </c>
      <c r="I43" s="13" t="s">
        <v>65</v>
      </c>
      <c r="J43" s="13" t="s">
        <v>59</v>
      </c>
      <c r="K43" s="94" t="s">
        <v>96</v>
      </c>
      <c r="L43" s="9" t="s">
        <v>69</v>
      </c>
    </row>
    <row r="44" spans="1:12" x14ac:dyDescent="0.35">
      <c r="A44" s="19"/>
      <c r="B44" s="17"/>
      <c r="C44" s="17"/>
      <c r="D44" s="10" t="s">
        <v>133</v>
      </c>
      <c r="E44" s="138">
        <f t="shared" ref="E44:E53" si="8">G12</f>
        <v>165</v>
      </c>
      <c r="F44" s="88">
        <f>$E$7-E44</f>
        <v>785</v>
      </c>
      <c r="G44" s="27">
        <f t="shared" ref="G44:G53" si="9">F44/$E$76</f>
        <v>0.22165014265160105</v>
      </c>
      <c r="H44" s="88">
        <f t="shared" ref="H44:H53" si="10">G44/H28</f>
        <v>0.16637625386692323</v>
      </c>
      <c r="I44" s="148">
        <v>0.16446875541494574</v>
      </c>
      <c r="J44" s="57">
        <v>0.8</v>
      </c>
      <c r="K44" s="95">
        <f t="shared" ref="K44:K53" si="11">I44*H28*J44</f>
        <v>0.17528714466001771</v>
      </c>
      <c r="L44" s="35">
        <f t="shared" ref="L44:L53" si="12">K44*$E$76</f>
        <v>620.79999999999995</v>
      </c>
    </row>
    <row r="45" spans="1:12" x14ac:dyDescent="0.35">
      <c r="A45" s="61"/>
      <c r="B45" s="17"/>
      <c r="C45" s="17"/>
      <c r="D45" s="10" t="s">
        <v>134</v>
      </c>
      <c r="E45" s="138">
        <f t="shared" si="8"/>
        <v>165</v>
      </c>
      <c r="F45" s="88">
        <f t="shared" ref="F45:F55" si="13">$E$7-E45</f>
        <v>785</v>
      </c>
      <c r="G45" s="27">
        <f t="shared" si="9"/>
        <v>0.22165014265160105</v>
      </c>
      <c r="H45" s="88">
        <f t="shared" si="10"/>
        <v>0.17437511222590993</v>
      </c>
      <c r="I45" s="148">
        <v>0.17237590711758738</v>
      </c>
      <c r="J45" s="57">
        <v>0.8</v>
      </c>
      <c r="K45" s="95">
        <f t="shared" si="11"/>
        <v>0.17528714466001774</v>
      </c>
      <c r="L45" s="35">
        <f t="shared" si="12"/>
        <v>620.79999999999995</v>
      </c>
    </row>
    <row r="46" spans="1:12" x14ac:dyDescent="0.35">
      <c r="A46" s="61"/>
      <c r="B46" s="17"/>
      <c r="C46" s="17"/>
      <c r="D46" s="10" t="s">
        <v>135</v>
      </c>
      <c r="E46" s="138">
        <f t="shared" si="8"/>
        <v>165</v>
      </c>
      <c r="F46" s="88">
        <f t="shared" si="13"/>
        <v>785</v>
      </c>
      <c r="G46" s="27">
        <f t="shared" si="9"/>
        <v>0.22165014265160105</v>
      </c>
      <c r="H46" s="88">
        <f t="shared" si="10"/>
        <v>0.17779423207347675</v>
      </c>
      <c r="I46" s="148">
        <v>0.17575582686499103</v>
      </c>
      <c r="J46" s="57">
        <v>0.8</v>
      </c>
      <c r="K46" s="95">
        <f t="shared" si="11"/>
        <v>0.17528714466001774</v>
      </c>
      <c r="L46" s="35">
        <f t="shared" si="12"/>
        <v>620.79999999999995</v>
      </c>
    </row>
    <row r="47" spans="1:12" x14ac:dyDescent="0.35">
      <c r="A47" s="61"/>
      <c r="B47" s="17"/>
      <c r="C47" s="17"/>
      <c r="D47" s="20" t="s">
        <v>136</v>
      </c>
      <c r="E47" s="138">
        <f t="shared" si="8"/>
        <v>163.80000000000001</v>
      </c>
      <c r="F47" s="88">
        <f t="shared" si="13"/>
        <v>786.2</v>
      </c>
      <c r="G47" s="27">
        <f t="shared" si="9"/>
        <v>0.22198897089514491</v>
      </c>
      <c r="H47" s="88">
        <f t="shared" si="10"/>
        <v>0.16047395486396021</v>
      </c>
      <c r="I47" s="148">
        <v>0.16047395486396021</v>
      </c>
      <c r="J47" s="57">
        <v>0.8</v>
      </c>
      <c r="K47" s="95">
        <f t="shared" si="11"/>
        <v>0.17759117671611593</v>
      </c>
      <c r="L47" s="35">
        <f t="shared" si="12"/>
        <v>628.96</v>
      </c>
    </row>
    <row r="48" spans="1:12" ht="15" customHeight="1" x14ac:dyDescent="0.35">
      <c r="A48" s="61"/>
      <c r="B48" s="17"/>
      <c r="C48" s="17"/>
      <c r="D48" s="10" t="s">
        <v>137</v>
      </c>
      <c r="E48" s="138">
        <f t="shared" si="8"/>
        <v>164.292</v>
      </c>
      <c r="F48" s="88">
        <f t="shared" si="13"/>
        <v>785.70799999999997</v>
      </c>
      <c r="G48" s="27">
        <f t="shared" si="9"/>
        <v>0.2218500513152919</v>
      </c>
      <c r="H48" s="88">
        <f t="shared" si="10"/>
        <v>0.17065388562714762</v>
      </c>
      <c r="I48" s="148">
        <v>0.16985242651261123</v>
      </c>
      <c r="J48" s="57">
        <v>0.8</v>
      </c>
      <c r="K48" s="95">
        <f t="shared" si="11"/>
        <v>0.17664652357311569</v>
      </c>
      <c r="L48" s="35">
        <f t="shared" si="12"/>
        <v>625.61440000000016</v>
      </c>
    </row>
    <row r="49" spans="1:12" x14ac:dyDescent="0.35">
      <c r="A49" s="19"/>
      <c r="B49" s="17"/>
      <c r="C49" s="17"/>
      <c r="D49" s="10" t="s">
        <v>138</v>
      </c>
      <c r="E49" s="138">
        <f t="shared" si="8"/>
        <v>163.80000000000001</v>
      </c>
      <c r="F49" s="88">
        <f t="shared" si="13"/>
        <v>786.2</v>
      </c>
      <c r="G49" s="27">
        <f t="shared" si="9"/>
        <v>0.22198897089514491</v>
      </c>
      <c r="H49" s="88">
        <f t="shared" si="10"/>
        <v>0.15112713601031041</v>
      </c>
      <c r="I49" s="148">
        <v>0.15112713601031041</v>
      </c>
      <c r="J49" s="57">
        <v>0.8</v>
      </c>
      <c r="K49" s="95">
        <f t="shared" si="11"/>
        <v>0.17759117671611591</v>
      </c>
      <c r="L49" s="35">
        <f t="shared" si="12"/>
        <v>628.95999999999992</v>
      </c>
    </row>
    <row r="50" spans="1:12" x14ac:dyDescent="0.35">
      <c r="A50" s="61"/>
      <c r="B50" s="17"/>
      <c r="C50" s="17"/>
      <c r="D50" s="10" t="s">
        <v>139</v>
      </c>
      <c r="E50" s="138">
        <f t="shared" si="8"/>
        <v>163.80000000000001</v>
      </c>
      <c r="F50" s="88">
        <f t="shared" si="13"/>
        <v>786.2</v>
      </c>
      <c r="G50" s="27">
        <f t="shared" si="9"/>
        <v>0.22198897089514491</v>
      </c>
      <c r="H50" s="88">
        <f t="shared" si="10"/>
        <v>0.15511651692983727</v>
      </c>
      <c r="I50" s="148">
        <v>0.15511651692983727</v>
      </c>
      <c r="J50" s="57">
        <v>0.8</v>
      </c>
      <c r="K50" s="95">
        <f t="shared" si="11"/>
        <v>0.17759117671611593</v>
      </c>
      <c r="L50" s="35">
        <f t="shared" si="12"/>
        <v>628.96</v>
      </c>
    </row>
    <row r="51" spans="1:12" x14ac:dyDescent="0.35">
      <c r="A51" s="61"/>
      <c r="B51" s="17"/>
      <c r="C51" s="17"/>
      <c r="D51" s="10" t="s">
        <v>140</v>
      </c>
      <c r="E51" s="138">
        <f t="shared" si="8"/>
        <v>163.80000000000001</v>
      </c>
      <c r="F51" s="88">
        <f t="shared" si="13"/>
        <v>786.2</v>
      </c>
      <c r="G51" s="27">
        <f t="shared" si="9"/>
        <v>0.22198897089514491</v>
      </c>
      <c r="H51" s="88">
        <f t="shared" si="10"/>
        <v>0.16073215913566405</v>
      </c>
      <c r="I51" s="148">
        <v>0.16073215913566405</v>
      </c>
      <c r="J51" s="57">
        <v>0.8</v>
      </c>
      <c r="K51" s="95">
        <f t="shared" si="11"/>
        <v>0.17759117671611593</v>
      </c>
      <c r="L51" s="35">
        <f t="shared" si="12"/>
        <v>628.96</v>
      </c>
    </row>
    <row r="52" spans="1:12" x14ac:dyDescent="0.35">
      <c r="A52" s="61"/>
      <c r="B52" s="17"/>
      <c r="C52" s="17"/>
      <c r="D52" s="196" t="s">
        <v>141</v>
      </c>
      <c r="E52" s="138">
        <f t="shared" si="8"/>
        <v>163.80000000000001</v>
      </c>
      <c r="F52" s="88">
        <f t="shared" ref="F52" si="14">$E$7-E52</f>
        <v>786.2</v>
      </c>
      <c r="G52" s="27">
        <f t="shared" si="9"/>
        <v>0.22198897089514491</v>
      </c>
      <c r="H52" s="88">
        <f t="shared" si="10"/>
        <v>0.16580089112500451</v>
      </c>
      <c r="I52" s="148">
        <v>0.16580089112500451</v>
      </c>
      <c r="J52" s="57">
        <v>0.8</v>
      </c>
      <c r="K52" s="95">
        <f t="shared" si="11"/>
        <v>0.17759117671611593</v>
      </c>
      <c r="L52" s="35">
        <f t="shared" si="12"/>
        <v>628.96</v>
      </c>
    </row>
    <row r="53" spans="1:12" ht="15.75" customHeight="1" thickBot="1" x14ac:dyDescent="0.4">
      <c r="A53" s="61"/>
      <c r="B53" s="17"/>
      <c r="C53" s="17"/>
      <c r="D53" s="11" t="s">
        <v>142</v>
      </c>
      <c r="E53" s="139">
        <f t="shared" si="8"/>
        <v>163.80000000000001</v>
      </c>
      <c r="F53" s="89">
        <f t="shared" si="13"/>
        <v>786.2</v>
      </c>
      <c r="G53" s="28">
        <f t="shared" si="9"/>
        <v>0.22198897089514491</v>
      </c>
      <c r="H53" s="89">
        <f t="shared" si="10"/>
        <v>0.15970429560801794</v>
      </c>
      <c r="I53" s="149">
        <v>0.15970429560801794</v>
      </c>
      <c r="J53" s="58">
        <v>0.8</v>
      </c>
      <c r="K53" s="96">
        <f t="shared" si="11"/>
        <v>0.17759117671611593</v>
      </c>
      <c r="L53" s="36">
        <f t="shared" si="12"/>
        <v>628.96</v>
      </c>
    </row>
    <row r="54" spans="1:12" ht="15.75" customHeight="1" thickBot="1" x14ac:dyDescent="0.4">
      <c r="A54" s="61"/>
      <c r="B54" s="17"/>
      <c r="C54" s="17"/>
      <c r="D54"/>
      <c r="E54"/>
      <c r="F54"/>
      <c r="G54"/>
      <c r="H54"/>
      <c r="I54"/>
      <c r="J54"/>
      <c r="K54"/>
      <c r="L54"/>
    </row>
    <row r="55" spans="1:12" ht="15" thickBot="1" x14ac:dyDescent="0.4">
      <c r="A55" s="61"/>
      <c r="B55" s="17"/>
      <c r="C55" s="17"/>
      <c r="D55" s="157" t="s">
        <v>144</v>
      </c>
      <c r="E55" s="182">
        <f t="shared" ref="E55" si="15">G23</f>
        <v>0</v>
      </c>
      <c r="F55" s="183">
        <f t="shared" si="13"/>
        <v>950</v>
      </c>
      <c r="G55" s="160">
        <f>F55/$E$76</f>
        <v>0.26823902613888023</v>
      </c>
      <c r="H55" s="183" t="e">
        <f t="shared" ref="H55" si="16">G55/H39</f>
        <v>#DIV/0!</v>
      </c>
      <c r="I55" s="184"/>
      <c r="J55" s="161"/>
      <c r="K55" s="185" t="e">
        <f t="shared" ref="K55" si="17">I55*H39*J55</f>
        <v>#DIV/0!</v>
      </c>
      <c r="L55" s="181" t="e">
        <f>K55*$E$76</f>
        <v>#DIV/0!</v>
      </c>
    </row>
    <row r="56" spans="1:12" x14ac:dyDescent="0.3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5.5" x14ac:dyDescent="0.35">
      <c r="C57" s="63" t="s">
        <v>100</v>
      </c>
      <c r="D57" s="17"/>
      <c r="E57" s="17"/>
      <c r="F57" s="17"/>
      <c r="G57" s="17"/>
      <c r="H57" s="17"/>
      <c r="I57" s="17"/>
      <c r="J57" s="17"/>
      <c r="K57" s="17"/>
    </row>
    <row r="58" spans="1:12" ht="15" customHeight="1" x14ac:dyDescent="0.35">
      <c r="C58" s="17"/>
      <c r="D58" s="17"/>
      <c r="E58" s="17"/>
      <c r="F58"/>
      <c r="G58"/>
      <c r="H58"/>
      <c r="I58"/>
    </row>
    <row r="59" spans="1:12" ht="15" thickBot="1" x14ac:dyDescent="0.4">
      <c r="C59" s="17"/>
      <c r="D59" s="17"/>
      <c r="E59" s="64"/>
      <c r="F59"/>
      <c r="G59"/>
      <c r="H59"/>
      <c r="I59"/>
    </row>
    <row r="60" spans="1:12" ht="58" x14ac:dyDescent="0.35">
      <c r="C60" s="17"/>
      <c r="D60" s="23" t="s">
        <v>105</v>
      </c>
      <c r="E60" s="26" t="s">
        <v>18</v>
      </c>
      <c r="F60" s="137" t="s">
        <v>91</v>
      </c>
      <c r="G60" s="13" t="s">
        <v>49</v>
      </c>
      <c r="H60" s="13" t="s">
        <v>106</v>
      </c>
      <c r="I60" s="9" t="s">
        <v>92</v>
      </c>
    </row>
    <row r="61" spans="1:12" x14ac:dyDescent="0.35">
      <c r="C61" s="17"/>
      <c r="D61" s="24" t="s">
        <v>133</v>
      </c>
      <c r="E61" s="229">
        <v>2</v>
      </c>
      <c r="F61" s="33">
        <f t="shared" ref="F61:F70" si="18">I12*E61/$E$76</f>
        <v>9.3177766974558394E-3</v>
      </c>
      <c r="G61" s="120">
        <f t="shared" ref="G61:G68" si="19">I44</f>
        <v>0.16446875541494574</v>
      </c>
      <c r="H61" s="123">
        <f t="shared" ref="H61:H70" si="20">E61*K44</f>
        <v>0.35057428932003543</v>
      </c>
      <c r="I61" s="30">
        <f>F61+H61</f>
        <v>0.35989206601749124</v>
      </c>
    </row>
    <row r="62" spans="1:12" x14ac:dyDescent="0.35">
      <c r="C62" s="17"/>
      <c r="D62" s="24" t="s">
        <v>134</v>
      </c>
      <c r="E62" s="229">
        <v>5</v>
      </c>
      <c r="F62" s="33">
        <f t="shared" si="18"/>
        <v>2.32944417436396E-2</v>
      </c>
      <c r="G62" s="120">
        <f t="shared" si="19"/>
        <v>0.17237590711758738</v>
      </c>
      <c r="H62" s="123">
        <f t="shared" si="20"/>
        <v>0.87643572330008868</v>
      </c>
      <c r="I62" s="30">
        <f t="shared" ref="I62:I72" si="21">F62+H62</f>
        <v>0.89973016504372827</v>
      </c>
    </row>
    <row r="63" spans="1:12" x14ac:dyDescent="0.35">
      <c r="C63" s="17"/>
      <c r="D63" s="24" t="s">
        <v>135</v>
      </c>
      <c r="E63" s="229">
        <v>118</v>
      </c>
      <c r="F63" s="33">
        <f t="shared" si="18"/>
        <v>0.54974882514989454</v>
      </c>
      <c r="G63" s="120">
        <f t="shared" si="19"/>
        <v>0.17575582686499103</v>
      </c>
      <c r="H63" s="123">
        <f t="shared" si="20"/>
        <v>20.683883069882093</v>
      </c>
      <c r="I63" s="30">
        <f t="shared" si="21"/>
        <v>21.233631895031987</v>
      </c>
    </row>
    <row r="64" spans="1:12" x14ac:dyDescent="0.35">
      <c r="C64" s="17"/>
      <c r="D64" s="24" t="s">
        <v>136</v>
      </c>
      <c r="E64" s="229">
        <v>8</v>
      </c>
      <c r="F64" s="33">
        <f t="shared" si="18"/>
        <v>3.7000044194988285E-2</v>
      </c>
      <c r="G64" s="120">
        <f t="shared" si="19"/>
        <v>0.16047395486396021</v>
      </c>
      <c r="H64" s="123">
        <f t="shared" si="20"/>
        <v>1.4207294137289275</v>
      </c>
      <c r="I64" s="30">
        <f t="shared" si="21"/>
        <v>1.4577294579239157</v>
      </c>
    </row>
    <row r="65" spans="3:10" x14ac:dyDescent="0.35">
      <c r="C65" s="17"/>
      <c r="D65" s="24" t="s">
        <v>137</v>
      </c>
      <c r="E65" s="229">
        <v>234</v>
      </c>
      <c r="F65" s="33">
        <f t="shared" si="18"/>
        <v>1.0855020108719671</v>
      </c>
      <c r="G65" s="120">
        <f t="shared" si="19"/>
        <v>0.16985242651261123</v>
      </c>
      <c r="H65" s="123">
        <f t="shared" si="20"/>
        <v>41.335286516109072</v>
      </c>
      <c r="I65" s="30">
        <f t="shared" si="21"/>
        <v>42.420788526981042</v>
      </c>
    </row>
    <row r="66" spans="3:10" x14ac:dyDescent="0.35">
      <c r="C66" s="17"/>
      <c r="D66" s="24" t="s">
        <v>138</v>
      </c>
      <c r="E66" s="229">
        <v>4</v>
      </c>
      <c r="F66" s="33">
        <f t="shared" si="18"/>
        <v>1.8500022097494143E-2</v>
      </c>
      <c r="G66" s="120">
        <f t="shared" si="19"/>
        <v>0.15112713601031041</v>
      </c>
      <c r="H66" s="123">
        <f t="shared" si="20"/>
        <v>0.71036470686446362</v>
      </c>
      <c r="I66" s="30">
        <f t="shared" si="21"/>
        <v>0.72886472896195775</v>
      </c>
    </row>
    <row r="67" spans="3:10" x14ac:dyDescent="0.35">
      <c r="C67" s="17"/>
      <c r="D67" s="24" t="s">
        <v>139</v>
      </c>
      <c r="E67" s="229">
        <v>15</v>
      </c>
      <c r="F67" s="33">
        <f t="shared" si="18"/>
        <v>6.9375082865603038E-2</v>
      </c>
      <c r="G67" s="120">
        <f t="shared" si="19"/>
        <v>0.15511651692983727</v>
      </c>
      <c r="H67" s="123">
        <f t="shared" si="20"/>
        <v>2.6638676507417389</v>
      </c>
      <c r="I67" s="30">
        <f t="shared" si="21"/>
        <v>2.7332427336073422</v>
      </c>
    </row>
    <row r="68" spans="3:10" x14ac:dyDescent="0.35">
      <c r="C68" s="17"/>
      <c r="D68" s="24" t="s">
        <v>140</v>
      </c>
      <c r="E68" s="229">
        <v>6</v>
      </c>
      <c r="F68" s="33">
        <f t="shared" si="18"/>
        <v>2.7750033146241214E-2</v>
      </c>
      <c r="G68" s="120">
        <f t="shared" si="19"/>
        <v>0.16073215913566405</v>
      </c>
      <c r="H68" s="123">
        <f t="shared" si="20"/>
        <v>1.0655470602966957</v>
      </c>
      <c r="I68" s="30">
        <f t="shared" si="21"/>
        <v>1.0932970934429369</v>
      </c>
    </row>
    <row r="69" spans="3:10" x14ac:dyDescent="0.35">
      <c r="C69" s="17"/>
      <c r="D69" s="208" t="s">
        <v>141</v>
      </c>
      <c r="E69" s="229">
        <v>235</v>
      </c>
      <c r="F69" s="33">
        <f t="shared" si="18"/>
        <v>1.0868762982277809</v>
      </c>
      <c r="G69" s="120">
        <f t="shared" ref="G69" si="22">I52</f>
        <v>0.16580089112500451</v>
      </c>
      <c r="H69" s="123">
        <f t="shared" si="20"/>
        <v>41.733926528287242</v>
      </c>
      <c r="I69" s="30">
        <f t="shared" ref="I69" si="23">F69+H69</f>
        <v>42.82080282651502</v>
      </c>
    </row>
    <row r="70" spans="3:10" ht="15" thickBot="1" x14ac:dyDescent="0.4">
      <c r="C70" s="17"/>
      <c r="D70" s="25" t="s">
        <v>142</v>
      </c>
      <c r="E70" s="230">
        <v>340</v>
      </c>
      <c r="F70" s="119">
        <f t="shared" si="18"/>
        <v>1.5725018782870022</v>
      </c>
      <c r="G70" s="121">
        <f>I53</f>
        <v>0.15970429560801794</v>
      </c>
      <c r="H70" s="124">
        <f t="shared" si="20"/>
        <v>60.381000083479421</v>
      </c>
      <c r="I70" s="32">
        <f t="shared" si="21"/>
        <v>61.95350196176642</v>
      </c>
    </row>
    <row r="71" spans="3:10" ht="15" thickBot="1" x14ac:dyDescent="0.4">
      <c r="C71" s="17"/>
      <c r="D71"/>
      <c r="E71"/>
      <c r="F71"/>
      <c r="G71"/>
      <c r="H71"/>
      <c r="I71"/>
    </row>
    <row r="72" spans="3:10" ht="15" thickBot="1" x14ac:dyDescent="0.4">
      <c r="C72" s="17"/>
      <c r="D72" s="157" t="s">
        <v>144</v>
      </c>
      <c r="E72" s="178"/>
      <c r="F72" s="179">
        <f>I23*E72/$E$76</f>
        <v>0</v>
      </c>
      <c r="G72" s="186">
        <f t="shared" ref="G72" si="24">I55</f>
        <v>0</v>
      </c>
      <c r="H72" s="187" t="e">
        <f t="shared" ref="H72" si="25">E72*K55</f>
        <v>#DIV/0!</v>
      </c>
      <c r="I72" s="163" t="e">
        <f t="shared" si="21"/>
        <v>#DIV/0!</v>
      </c>
    </row>
    <row r="73" spans="3:10" x14ac:dyDescent="0.35">
      <c r="C73" s="17"/>
      <c r="D73" s="17"/>
      <c r="E73" s="17"/>
      <c r="F73" s="17"/>
      <c r="G73" s="17"/>
      <c r="H73" s="17"/>
      <c r="I73" s="17"/>
      <c r="J73" s="17"/>
    </row>
    <row r="74" spans="3:10" x14ac:dyDescent="0.35">
      <c r="D74" s="99"/>
      <c r="E74" s="100"/>
    </row>
    <row r="75" spans="3:10" ht="15.5" x14ac:dyDescent="0.35">
      <c r="C75" s="63" t="s">
        <v>102</v>
      </c>
    </row>
    <row r="76" spans="3:10" x14ac:dyDescent="0.35">
      <c r="D76" s="99" t="s">
        <v>94</v>
      </c>
      <c r="E76" s="100">
        <f>(7.48*43560)/92</f>
        <v>3541.6173913043485</v>
      </c>
      <c r="F76" s="21" t="s">
        <v>71</v>
      </c>
    </row>
    <row r="77" spans="3:10" x14ac:dyDescent="0.35">
      <c r="D77" s="99" t="s">
        <v>94</v>
      </c>
      <c r="E77" s="100">
        <f>43560/(92*24*3600)</f>
        <v>5.4800724637681158E-3</v>
      </c>
      <c r="F77" s="21" t="s">
        <v>72</v>
      </c>
    </row>
  </sheetData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L60"/>
  <sheetViews>
    <sheetView topLeftCell="A43" zoomScaleNormal="100" zoomScaleSheetLayoutView="100" workbookViewId="0">
      <selection activeCell="B57" sqref="B57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6.7265625" style="21" customWidth="1"/>
    <col min="6" max="12" width="17.7265625" style="21" customWidth="1"/>
    <col min="13" max="13" width="13.7265625" style="21" customWidth="1"/>
    <col min="14" max="16384" width="9.1796875" style="21"/>
  </cols>
  <sheetData>
    <row r="1" spans="1:12" x14ac:dyDescent="0.35">
      <c r="G1" s="134"/>
    </row>
    <row r="2" spans="1:12" x14ac:dyDescent="0.35">
      <c r="A2" s="133" t="s">
        <v>108</v>
      </c>
      <c r="G2" s="134"/>
    </row>
    <row r="3" spans="1:12" x14ac:dyDescent="0.35">
      <c r="A3" s="133" t="s">
        <v>107</v>
      </c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89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15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1.8483633122670554E-2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0" si="1">E12*F12</f>
        <v>165</v>
      </c>
      <c r="H12" s="57">
        <v>0.1</v>
      </c>
      <c r="I12" s="29">
        <f t="shared" ref="I12:I20" si="2">G12*H12</f>
        <v>16.5</v>
      </c>
      <c r="J12" s="30">
        <f t="shared" si="0"/>
        <v>1.8483633122670554E-2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1.8483633122670554E-2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si="2"/>
        <v>16.380000000000003</v>
      </c>
      <c r="J14" s="30">
        <f t="shared" si="0"/>
        <v>1.8349206699960225E-2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1.840432153327146E-2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1.8349206699960225E-2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1.8349206699960225E-2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1.8349206699960225E-2</v>
      </c>
      <c r="K18" s="17"/>
      <c r="L18" s="17"/>
    </row>
    <row r="19" spans="1:12" ht="15.75" customHeight="1" x14ac:dyDescent="0.35">
      <c r="A19" s="62"/>
      <c r="B19" s="17"/>
      <c r="C19" s="17"/>
      <c r="D19" s="196" t="s">
        <v>141</v>
      </c>
      <c r="E19" s="53">
        <v>60</v>
      </c>
      <c r="F19" s="227">
        <v>2.73</v>
      </c>
      <c r="G19" s="27">
        <f t="shared" si="1"/>
        <v>163.80000000000001</v>
      </c>
      <c r="H19" s="57">
        <v>0.1</v>
      </c>
      <c r="I19" s="29">
        <f t="shared" si="2"/>
        <v>16.380000000000003</v>
      </c>
      <c r="J19" s="30">
        <f t="shared" si="0"/>
        <v>1.8349206699960225E-2</v>
      </c>
      <c r="K19" s="17"/>
      <c r="L19" s="17"/>
    </row>
    <row r="20" spans="1:12" ht="1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8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1.8349206699960225E-2</v>
      </c>
      <c r="K20" s="17"/>
      <c r="L20" s="17"/>
    </row>
    <row r="21" spans="1:12" ht="15" customHeight="1" thickBot="1" x14ac:dyDescent="0.4">
      <c r="A21" s="62"/>
      <c r="B21" s="17"/>
      <c r="C21" s="17"/>
      <c r="D21" s="152"/>
      <c r="E21" s="152"/>
      <c r="F21" s="153"/>
      <c r="G21" s="154"/>
      <c r="H21" s="155"/>
      <c r="I21" s="156"/>
      <c r="J21" s="154"/>
      <c r="K21" s="17"/>
      <c r="L21" s="17"/>
    </row>
    <row r="22" spans="1:12" ht="15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ref="G22" si="3">E22*F22</f>
        <v>0</v>
      </c>
      <c r="H22" s="161"/>
      <c r="I22" s="162">
        <f t="shared" ref="I22" si="4">G22*H22</f>
        <v>0</v>
      </c>
      <c r="J22" s="163">
        <f>I22/$E$59</f>
        <v>0</v>
      </c>
      <c r="K22" s="17"/>
      <c r="L22" s="17"/>
    </row>
    <row r="23" spans="1:12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57</v>
      </c>
      <c r="F26" s="13" t="s">
        <v>16</v>
      </c>
      <c r="G26" s="13" t="s">
        <v>85</v>
      </c>
      <c r="H26" s="13" t="s">
        <v>59</v>
      </c>
      <c r="I26" s="13" t="s">
        <v>119</v>
      </c>
      <c r="J26" s="9" t="s">
        <v>118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231">
        <v>15.05</v>
      </c>
      <c r="F27" s="57">
        <v>0.75</v>
      </c>
      <c r="G27" s="27">
        <f>E27/F27</f>
        <v>20.066666666666666</v>
      </c>
      <c r="H27" s="57">
        <v>0.8</v>
      </c>
      <c r="I27" s="27">
        <f>H27*G27</f>
        <v>16.053333333333335</v>
      </c>
      <c r="J27" s="30">
        <f>I27/12</f>
        <v>1.337777777777778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231">
        <v>14.16</v>
      </c>
      <c r="F28" s="57">
        <v>0.75</v>
      </c>
      <c r="G28" s="27">
        <f t="shared" ref="G28:G36" si="5">E28/F28</f>
        <v>18.88</v>
      </c>
      <c r="H28" s="57">
        <v>0.8</v>
      </c>
      <c r="I28" s="27">
        <f t="shared" ref="I28:I36" si="6">H28*G28</f>
        <v>15.103999999999999</v>
      </c>
      <c r="J28" s="30">
        <f t="shared" ref="J28:J36" si="7">I28/12</f>
        <v>1.2586666666666666</v>
      </c>
      <c r="K28" s="17"/>
      <c r="L28" s="17"/>
    </row>
    <row r="29" spans="1:12" x14ac:dyDescent="0.35">
      <c r="A29" s="17"/>
      <c r="B29" s="17"/>
      <c r="C29" s="17"/>
      <c r="D29" s="10" t="s">
        <v>135</v>
      </c>
      <c r="E29" s="231">
        <v>13.75</v>
      </c>
      <c r="F29" s="57">
        <v>0.75</v>
      </c>
      <c r="G29" s="27">
        <f t="shared" si="5"/>
        <v>18.333333333333332</v>
      </c>
      <c r="H29" s="57">
        <v>0.8</v>
      </c>
      <c r="I29" s="27">
        <f t="shared" si="6"/>
        <v>14.666666666666666</v>
      </c>
      <c r="J29" s="30">
        <f t="shared" si="7"/>
        <v>1.2222222222222221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231">
        <v>15.71</v>
      </c>
      <c r="F30" s="57">
        <v>0.75</v>
      </c>
      <c r="G30" s="27">
        <f t="shared" si="5"/>
        <v>20.946666666666669</v>
      </c>
      <c r="H30" s="57">
        <v>0.8</v>
      </c>
      <c r="I30" s="27">
        <f t="shared" si="6"/>
        <v>16.757333333333335</v>
      </c>
      <c r="J30" s="30">
        <f t="shared" si="7"/>
        <v>1.3964444444444446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231">
        <v>14.43</v>
      </c>
      <c r="F31" s="57">
        <v>0.75</v>
      </c>
      <c r="G31" s="27">
        <f t="shared" si="5"/>
        <v>19.239999999999998</v>
      </c>
      <c r="H31" s="57">
        <v>0.8</v>
      </c>
      <c r="I31" s="27">
        <f t="shared" si="6"/>
        <v>15.391999999999999</v>
      </c>
      <c r="J31" s="30">
        <f t="shared" si="7"/>
        <v>1.2826666666666666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231">
        <v>16.97</v>
      </c>
      <c r="F32" s="57">
        <v>0.75</v>
      </c>
      <c r="G32" s="27">
        <f t="shared" si="5"/>
        <v>22.626666666666665</v>
      </c>
      <c r="H32" s="57">
        <v>0.8</v>
      </c>
      <c r="I32" s="27">
        <f t="shared" si="6"/>
        <v>18.101333333333333</v>
      </c>
      <c r="J32" s="30">
        <f t="shared" si="7"/>
        <v>1.5084444444444445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231">
        <v>16.3</v>
      </c>
      <c r="F33" s="57">
        <v>0.75</v>
      </c>
      <c r="G33" s="27">
        <f t="shared" si="5"/>
        <v>21.733333333333334</v>
      </c>
      <c r="H33" s="57">
        <v>0.8</v>
      </c>
      <c r="I33" s="27">
        <f t="shared" si="6"/>
        <v>17.386666666666667</v>
      </c>
      <c r="J33" s="30">
        <f t="shared" si="7"/>
        <v>1.4488888888888889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231">
        <v>15.53</v>
      </c>
      <c r="F34" s="57">
        <v>0.75</v>
      </c>
      <c r="G34" s="27">
        <f t="shared" si="5"/>
        <v>20.706666666666667</v>
      </c>
      <c r="H34" s="57">
        <v>0.8</v>
      </c>
      <c r="I34" s="27">
        <f t="shared" si="6"/>
        <v>16.565333333333335</v>
      </c>
      <c r="J34" s="30">
        <f t="shared" si="7"/>
        <v>1.3804444444444446</v>
      </c>
      <c r="K34" s="17"/>
      <c r="L34" s="17"/>
    </row>
    <row r="35" spans="1:12" x14ac:dyDescent="0.35">
      <c r="A35" s="17"/>
      <c r="B35" s="17"/>
      <c r="C35" s="17"/>
      <c r="D35" s="196" t="s">
        <v>141</v>
      </c>
      <c r="E35" s="231">
        <v>14.82</v>
      </c>
      <c r="F35" s="57">
        <v>0.75</v>
      </c>
      <c r="G35" s="27">
        <f t="shared" si="5"/>
        <v>19.760000000000002</v>
      </c>
      <c r="H35" s="57">
        <v>0.8</v>
      </c>
      <c r="I35" s="27">
        <f t="shared" si="6"/>
        <v>15.808000000000002</v>
      </c>
      <c r="J35" s="30">
        <f t="shared" si="7"/>
        <v>1.3173333333333335</v>
      </c>
      <c r="K35" s="17"/>
    </row>
    <row r="36" spans="1:12" ht="15" thickBot="1" x14ac:dyDescent="0.4">
      <c r="A36" s="17"/>
      <c r="B36" s="17"/>
      <c r="C36" s="17"/>
      <c r="D36" s="11" t="s">
        <v>142</v>
      </c>
      <c r="E36" s="232">
        <v>15.63</v>
      </c>
      <c r="F36" s="58">
        <v>0.75</v>
      </c>
      <c r="G36" s="28">
        <f t="shared" si="5"/>
        <v>20.84</v>
      </c>
      <c r="H36" s="58">
        <v>0.8</v>
      </c>
      <c r="I36" s="28">
        <f t="shared" si="6"/>
        <v>16.672000000000001</v>
      </c>
      <c r="J36" s="32">
        <f t="shared" si="7"/>
        <v>1.3893333333333333</v>
      </c>
      <c r="K36" s="17"/>
      <c r="L36" s="38"/>
    </row>
    <row r="37" spans="1:12" ht="15" thickBot="1" x14ac:dyDescent="0.4">
      <c r="A37" s="17"/>
      <c r="B37" s="17"/>
      <c r="C37" s="17"/>
      <c r="D37" s="164"/>
      <c r="E37" s="164"/>
      <c r="F37" s="165"/>
      <c r="G37" s="166"/>
      <c r="H37" s="165"/>
      <c r="I37" s="166"/>
      <c r="J37" s="166"/>
      <c r="K37" s="17"/>
    </row>
    <row r="38" spans="1:12" ht="15" thickBot="1" x14ac:dyDescent="0.4">
      <c r="A38" s="17"/>
      <c r="B38" s="17"/>
      <c r="C38" s="17"/>
      <c r="D38" s="157" t="s">
        <v>144</v>
      </c>
      <c r="E38" s="85"/>
      <c r="F38" s="86"/>
      <c r="G38" s="68" t="e">
        <f t="shared" ref="G38" si="8">E38/F38</f>
        <v>#DIV/0!</v>
      </c>
      <c r="H38" s="86"/>
      <c r="I38" s="68" t="e">
        <f t="shared" ref="I38" si="9">H38*G38</f>
        <v>#DIV/0!</v>
      </c>
      <c r="J38" s="69" t="e">
        <f t="shared" ref="J38" si="10">I38/12</f>
        <v>#DIV/0!</v>
      </c>
      <c r="K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45</v>
      </c>
      <c r="D40" s="17"/>
      <c r="E40" s="17"/>
      <c r="F40" s="17"/>
      <c r="G40" s="17"/>
      <c r="H40" s="17"/>
      <c r="I40" s="17"/>
      <c r="J40" s="17"/>
      <c r="K40" s="17"/>
    </row>
    <row r="41" spans="1:12" x14ac:dyDescent="0.35">
      <c r="A41" s="17"/>
      <c r="B41" s="17"/>
      <c r="C41" s="17"/>
      <c r="D41" s="17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15" customHeight="1" x14ac:dyDescent="0.35">
      <c r="A43" s="19"/>
      <c r="B43" s="17"/>
      <c r="C43" s="17"/>
      <c r="D43" s="23" t="s">
        <v>105</v>
      </c>
      <c r="E43" s="26" t="s">
        <v>117</v>
      </c>
      <c r="F43" s="137" t="s">
        <v>27</v>
      </c>
      <c r="G43" s="13" t="s">
        <v>49</v>
      </c>
      <c r="H43" s="13" t="s">
        <v>81</v>
      </c>
      <c r="I43" s="9" t="s">
        <v>17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3" si="11">E44*J11</f>
        <v>3.6967266245341107E-2</v>
      </c>
      <c r="G44" s="109">
        <v>0.28000000000000003</v>
      </c>
      <c r="H44" s="27">
        <f t="shared" ref="H44:H53" si="12">G44*E44*J27</f>
        <v>0.74915555555555569</v>
      </c>
      <c r="I44" s="30">
        <f>F44+H44</f>
        <v>0.78612282180089676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11"/>
        <v>9.2418165613352768E-2</v>
      </c>
      <c r="G45" s="109">
        <v>0.28000000000000003</v>
      </c>
      <c r="H45" s="27">
        <f t="shared" si="12"/>
        <v>1.7621333333333333</v>
      </c>
      <c r="I45" s="30">
        <f t="shared" ref="I45:I55" si="13">F45+H45</f>
        <v>1.854551498946686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11"/>
        <v>2.1810687084751255</v>
      </c>
      <c r="G46" s="109">
        <v>0.28000000000000003</v>
      </c>
      <c r="H46" s="27">
        <f t="shared" si="12"/>
        <v>40.382222222222225</v>
      </c>
      <c r="I46" s="30">
        <f t="shared" si="13"/>
        <v>42.563290930697349</v>
      </c>
      <c r="J46" s="17"/>
      <c r="K46" s="17"/>
    </row>
    <row r="47" spans="1:12" ht="15.7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11"/>
        <v>0.1467936535996818</v>
      </c>
      <c r="G47" s="109">
        <v>0.28000000000000003</v>
      </c>
      <c r="H47" s="27">
        <f t="shared" si="12"/>
        <v>3.1280355555555563</v>
      </c>
      <c r="I47" s="30">
        <f t="shared" si="13"/>
        <v>3.274829209155238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11"/>
        <v>4.3066112387855213</v>
      </c>
      <c r="G48" s="109">
        <v>0.31</v>
      </c>
      <c r="H48" s="27">
        <f t="shared" si="12"/>
        <v>93.044640000000001</v>
      </c>
      <c r="I48" s="30">
        <f t="shared" si="13"/>
        <v>97.351251238785522</v>
      </c>
      <c r="J48" s="17"/>
      <c r="K48" s="17"/>
    </row>
    <row r="49" spans="1:11" x14ac:dyDescent="0.35">
      <c r="A49" s="61"/>
      <c r="B49" s="17"/>
      <c r="C49" s="17"/>
      <c r="D49" s="24" t="s">
        <v>138</v>
      </c>
      <c r="E49" s="229">
        <v>4</v>
      </c>
      <c r="F49" s="33">
        <f t="shared" si="11"/>
        <v>7.33968267998409E-2</v>
      </c>
      <c r="G49" s="109">
        <v>0.28000000000000003</v>
      </c>
      <c r="H49" s="27">
        <f t="shared" si="12"/>
        <v>1.6894577777777779</v>
      </c>
      <c r="I49" s="30">
        <f t="shared" si="13"/>
        <v>1.7628546045776188</v>
      </c>
      <c r="J49" s="17"/>
      <c r="K49" s="17"/>
    </row>
    <row r="50" spans="1:11" x14ac:dyDescent="0.35">
      <c r="A50" s="61"/>
      <c r="B50" s="17"/>
      <c r="C50" s="17"/>
      <c r="D50" s="24" t="s">
        <v>139</v>
      </c>
      <c r="E50" s="229">
        <v>15</v>
      </c>
      <c r="F50" s="33">
        <f t="shared" si="11"/>
        <v>0.27523810049940339</v>
      </c>
      <c r="G50" s="109">
        <v>0.33</v>
      </c>
      <c r="H50" s="27">
        <f t="shared" si="12"/>
        <v>7.1720000000000006</v>
      </c>
      <c r="I50" s="30">
        <f t="shared" si="13"/>
        <v>7.4472381004994039</v>
      </c>
      <c r="J50" s="17"/>
      <c r="K50" s="17"/>
    </row>
    <row r="51" spans="1:11" ht="1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11"/>
        <v>0.11009524019976136</v>
      </c>
      <c r="G51" s="109">
        <v>0.31</v>
      </c>
      <c r="H51" s="27">
        <f t="shared" si="12"/>
        <v>2.5676266666666669</v>
      </c>
      <c r="I51" s="30">
        <f t="shared" si="13"/>
        <v>2.6777219068664282</v>
      </c>
      <c r="J51" s="17"/>
      <c r="K51" s="17"/>
    </row>
    <row r="52" spans="1:11" x14ac:dyDescent="0.35">
      <c r="A52" s="61"/>
      <c r="B52" s="17"/>
      <c r="C52" s="17"/>
      <c r="D52" s="208" t="s">
        <v>141</v>
      </c>
      <c r="E52" s="229">
        <v>235</v>
      </c>
      <c r="F52" s="33">
        <f t="shared" si="11"/>
        <v>4.3120635744906526</v>
      </c>
      <c r="G52" s="109">
        <v>0.37</v>
      </c>
      <c r="H52" s="27">
        <f t="shared" si="12"/>
        <v>114.54213333333335</v>
      </c>
      <c r="I52" s="30">
        <f t="shared" si="13"/>
        <v>118.854196907824</v>
      </c>
      <c r="J52" s="17"/>
      <c r="K52" s="17"/>
    </row>
    <row r="53" spans="1:1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si="11"/>
        <v>6.2387302779864768</v>
      </c>
      <c r="G53" s="122">
        <v>0.33</v>
      </c>
      <c r="H53" s="28">
        <f t="shared" si="12"/>
        <v>155.88319999999999</v>
      </c>
      <c r="I53" s="32">
        <f t="shared" si="13"/>
        <v>162.12193027798645</v>
      </c>
      <c r="J53" s="17"/>
      <c r="K53" s="17"/>
    </row>
    <row r="54" spans="1:11" ht="15" thickBot="1" x14ac:dyDescent="0.4">
      <c r="A54" s="61"/>
      <c r="B54" s="17"/>
      <c r="C54" s="17"/>
      <c r="D54" s="164"/>
      <c r="E54" s="164"/>
      <c r="F54" s="166"/>
      <c r="G54" s="167"/>
      <c r="H54" s="166"/>
      <c r="I54" s="166"/>
      <c r="J54" s="17"/>
      <c r="K54" s="17"/>
    </row>
    <row r="55" spans="1:11" ht="15" thickBot="1" x14ac:dyDescent="0.4">
      <c r="B55" s="17"/>
      <c r="C55" s="17"/>
      <c r="D55" s="157" t="s">
        <v>144</v>
      </c>
      <c r="E55" s="66"/>
      <c r="F55" s="67">
        <f>E55*J22</f>
        <v>0</v>
      </c>
      <c r="G55" s="87"/>
      <c r="H55" s="68" t="e">
        <f t="shared" ref="H55" si="14">G55*E55*J38</f>
        <v>#DIV/0!</v>
      </c>
      <c r="I55" s="69" t="e">
        <f t="shared" si="13"/>
        <v>#DIV/0!</v>
      </c>
      <c r="J55" s="17"/>
      <c r="K55" s="17"/>
    </row>
    <row r="56" spans="1:11" x14ac:dyDescent="0.35">
      <c r="C56" s="17"/>
      <c r="D56" s="17"/>
      <c r="E56" s="17"/>
      <c r="F56" s="17"/>
      <c r="G56" s="17"/>
      <c r="H56" s="17"/>
      <c r="I56" s="17"/>
      <c r="J56" s="17"/>
    </row>
    <row r="58" spans="1:11" ht="15.5" x14ac:dyDescent="0.35">
      <c r="C58" s="63" t="s">
        <v>95</v>
      </c>
    </row>
    <row r="59" spans="1:11" x14ac:dyDescent="0.35">
      <c r="D59" s="99" t="s">
        <v>70</v>
      </c>
      <c r="E59" s="100">
        <f>(7.48*43560)/365</f>
        <v>892.68164383561657</v>
      </c>
      <c r="F59" s="21" t="s">
        <v>71</v>
      </c>
    </row>
    <row r="60" spans="1:11" x14ac:dyDescent="0.35">
      <c r="D60" s="99" t="s">
        <v>70</v>
      </c>
      <c r="E60" s="100">
        <f>43560/(365*24*3600)</f>
        <v>1.3812785388127853E-3</v>
      </c>
      <c r="F60" s="21" t="s">
        <v>72</v>
      </c>
    </row>
  </sheetData>
  <sheetProtection algorithmName="SHA-512" hashValue="KkQPLcHdsIdYZmH7rBSFFnX8yrs0Q+jHWMKeVhugaCUQRQnucG83pSqkEM8LzwXQcDi7p7i+5TYcVhemx9TQSg==" saltValue="DPviLThsrZD3zMywnA8P/g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L60"/>
  <sheetViews>
    <sheetView topLeftCell="A45" zoomScaleNormal="100" zoomScaleSheetLayoutView="100" workbookViewId="0">
      <selection activeCell="C15" sqref="C15"/>
    </sheetView>
  </sheetViews>
  <sheetFormatPr defaultColWidth="9.1796875" defaultRowHeight="14.5" x14ac:dyDescent="0.35"/>
  <cols>
    <col min="1" max="1" width="29.1796875" style="21" bestFit="1" customWidth="1"/>
    <col min="2" max="2" width="3.7265625" style="21" customWidth="1"/>
    <col min="3" max="3" width="9.1796875" style="21"/>
    <col min="4" max="4" width="24.453125" style="21" bestFit="1" customWidth="1"/>
    <col min="5" max="5" width="16.7265625" style="21" customWidth="1"/>
    <col min="6" max="12" width="17.7265625" style="21" customWidth="1"/>
    <col min="13" max="13" width="13.7265625" style="21" customWidth="1"/>
    <col min="14" max="16384" width="9.1796875" style="21"/>
  </cols>
  <sheetData>
    <row r="1" spans="1:12" x14ac:dyDescent="0.35">
      <c r="G1" s="134"/>
    </row>
    <row r="2" spans="1:12" x14ac:dyDescent="0.35">
      <c r="A2" s="133" t="s">
        <v>108</v>
      </c>
      <c r="G2" s="134"/>
    </row>
    <row r="3" spans="1:12" x14ac:dyDescent="0.35">
      <c r="A3" s="133" t="s">
        <v>107</v>
      </c>
    </row>
    <row r="5" spans="1:12" ht="18.5" x14ac:dyDescent="0.45">
      <c r="A5" s="17"/>
      <c r="B5" s="281" t="s">
        <v>0</v>
      </c>
      <c r="C5" s="281"/>
      <c r="D5" s="281"/>
      <c r="E5" s="281"/>
      <c r="F5" s="281"/>
      <c r="G5" s="281"/>
      <c r="H5" s="281"/>
      <c r="I5" s="281"/>
      <c r="J5" s="281"/>
      <c r="K5" s="281"/>
      <c r="L5" s="22"/>
    </row>
    <row r="6" spans="1:12" x14ac:dyDescent="0.35">
      <c r="A6" s="17"/>
      <c r="B6" s="17"/>
      <c r="C6" s="17"/>
      <c r="D6" s="17"/>
      <c r="E6" s="17"/>
      <c r="F6" s="17"/>
      <c r="G6" s="126" t="s">
        <v>89</v>
      </c>
      <c r="H6" s="17"/>
      <c r="I6" s="17"/>
      <c r="J6" s="17"/>
      <c r="K6" s="17"/>
      <c r="L6" s="17"/>
    </row>
    <row r="7" spans="1:1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5.5" x14ac:dyDescent="0.35">
      <c r="A8" s="17"/>
      <c r="B8" s="17"/>
      <c r="C8" s="63" t="s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" thickBot="1" x14ac:dyDescent="0.4">
      <c r="A9" s="18" t="s">
        <v>9</v>
      </c>
      <c r="B9" s="18"/>
      <c r="C9" s="17"/>
      <c r="D9" s="17"/>
      <c r="E9" s="64" t="s">
        <v>3</v>
      </c>
      <c r="F9" s="64" t="s">
        <v>4</v>
      </c>
      <c r="G9" s="65" t="s">
        <v>5</v>
      </c>
      <c r="H9" s="65" t="s">
        <v>6</v>
      </c>
      <c r="I9" s="65" t="s">
        <v>7</v>
      </c>
      <c r="J9" s="65" t="s">
        <v>8</v>
      </c>
      <c r="K9" s="17"/>
      <c r="L9" s="17"/>
    </row>
    <row r="10" spans="1:12" ht="43.5" x14ac:dyDescent="0.35">
      <c r="A10" s="17"/>
      <c r="B10" s="17"/>
      <c r="C10" s="17"/>
      <c r="D10" s="135" t="s">
        <v>105</v>
      </c>
      <c r="E10" s="12" t="s">
        <v>12</v>
      </c>
      <c r="F10" s="13" t="s">
        <v>2</v>
      </c>
      <c r="G10" s="13" t="s">
        <v>80</v>
      </c>
      <c r="H10" s="13" t="s">
        <v>13</v>
      </c>
      <c r="I10" s="13" t="s">
        <v>14</v>
      </c>
      <c r="J10" s="9" t="s">
        <v>15</v>
      </c>
      <c r="K10" s="17"/>
      <c r="L10" s="17"/>
    </row>
    <row r="11" spans="1:12" ht="15" customHeight="1" x14ac:dyDescent="0.35">
      <c r="A11" s="61" t="s">
        <v>10</v>
      </c>
      <c r="B11" s="19"/>
      <c r="C11" s="17"/>
      <c r="D11" s="10" t="s">
        <v>133</v>
      </c>
      <c r="E11" s="53">
        <v>60</v>
      </c>
      <c r="F11" s="226">
        <v>2.75</v>
      </c>
      <c r="G11" s="27">
        <f>E11*F11</f>
        <v>165</v>
      </c>
      <c r="H11" s="57">
        <v>0.1</v>
      </c>
      <c r="I11" s="29">
        <f>G11*H11</f>
        <v>16.5</v>
      </c>
      <c r="J11" s="30">
        <f t="shared" ref="J11:J20" si="0">I11/$E$59</f>
        <v>1.8483633122670554E-2</v>
      </c>
      <c r="K11" s="17"/>
      <c r="L11" s="17"/>
    </row>
    <row r="12" spans="1:12" ht="15" customHeight="1" x14ac:dyDescent="0.35">
      <c r="A12" s="61" t="s">
        <v>11</v>
      </c>
      <c r="B12" s="19"/>
      <c r="C12" s="17"/>
      <c r="D12" s="10" t="s">
        <v>134</v>
      </c>
      <c r="E12" s="53">
        <v>60</v>
      </c>
      <c r="F12" s="226">
        <v>2.75</v>
      </c>
      <c r="G12" s="27">
        <f t="shared" ref="G12:G20" si="1">E12*F12</f>
        <v>165</v>
      </c>
      <c r="H12" s="57">
        <v>0.1</v>
      </c>
      <c r="I12" s="29">
        <f t="shared" ref="I12:I20" si="2">G12*H12</f>
        <v>16.5</v>
      </c>
      <c r="J12" s="30">
        <f t="shared" si="0"/>
        <v>1.8483633122670554E-2</v>
      </c>
      <c r="K12" s="17"/>
      <c r="L12" s="17"/>
    </row>
    <row r="13" spans="1:12" x14ac:dyDescent="0.35">
      <c r="A13" s="62"/>
      <c r="B13" s="17"/>
      <c r="C13" s="17"/>
      <c r="D13" s="10" t="s">
        <v>135</v>
      </c>
      <c r="E13" s="53">
        <v>60</v>
      </c>
      <c r="F13" s="226">
        <v>2.75</v>
      </c>
      <c r="G13" s="27">
        <f t="shared" si="1"/>
        <v>165</v>
      </c>
      <c r="H13" s="57">
        <v>0.1</v>
      </c>
      <c r="I13" s="29">
        <f t="shared" si="2"/>
        <v>16.5</v>
      </c>
      <c r="J13" s="30">
        <f t="shared" si="0"/>
        <v>1.8483633122670554E-2</v>
      </c>
      <c r="K13" s="17"/>
      <c r="L13" s="17"/>
    </row>
    <row r="14" spans="1:12" x14ac:dyDescent="0.35">
      <c r="A14" s="62"/>
      <c r="B14" s="17"/>
      <c r="C14" s="17"/>
      <c r="D14" s="20" t="s">
        <v>136</v>
      </c>
      <c r="E14" s="53">
        <v>60</v>
      </c>
      <c r="F14" s="226">
        <v>2.73</v>
      </c>
      <c r="G14" s="27">
        <f t="shared" si="1"/>
        <v>163.80000000000001</v>
      </c>
      <c r="H14" s="57">
        <v>0.1</v>
      </c>
      <c r="I14" s="29">
        <f t="shared" si="2"/>
        <v>16.380000000000003</v>
      </c>
      <c r="J14" s="30">
        <f t="shared" si="0"/>
        <v>1.8349206699960225E-2</v>
      </c>
      <c r="K14" s="17"/>
      <c r="L14" s="17"/>
    </row>
    <row r="15" spans="1:12" ht="15" customHeight="1" x14ac:dyDescent="0.35">
      <c r="A15" s="62"/>
      <c r="B15" s="17"/>
      <c r="C15" s="17"/>
      <c r="D15" s="10" t="s">
        <v>137</v>
      </c>
      <c r="E15" s="53">
        <v>60</v>
      </c>
      <c r="F15" s="226">
        <v>2.7382</v>
      </c>
      <c r="G15" s="27">
        <f t="shared" si="1"/>
        <v>164.292</v>
      </c>
      <c r="H15" s="57">
        <v>0.1</v>
      </c>
      <c r="I15" s="29">
        <f t="shared" si="2"/>
        <v>16.429200000000002</v>
      </c>
      <c r="J15" s="30">
        <f t="shared" si="0"/>
        <v>1.840432153327146E-2</v>
      </c>
      <c r="K15" s="17"/>
      <c r="L15" s="17"/>
    </row>
    <row r="16" spans="1:12" ht="15" customHeight="1" x14ac:dyDescent="0.35">
      <c r="A16" s="62"/>
      <c r="B16" s="17"/>
      <c r="C16" s="17"/>
      <c r="D16" s="10" t="s">
        <v>138</v>
      </c>
      <c r="E16" s="53">
        <v>60</v>
      </c>
      <c r="F16" s="226">
        <v>2.73</v>
      </c>
      <c r="G16" s="27">
        <f t="shared" si="1"/>
        <v>163.80000000000001</v>
      </c>
      <c r="H16" s="57">
        <v>0.1</v>
      </c>
      <c r="I16" s="29">
        <f t="shared" si="2"/>
        <v>16.380000000000003</v>
      </c>
      <c r="J16" s="30">
        <f t="shared" si="0"/>
        <v>1.8349206699960225E-2</v>
      </c>
      <c r="K16" s="17"/>
      <c r="L16" s="17"/>
    </row>
    <row r="17" spans="1:12" x14ac:dyDescent="0.35">
      <c r="A17" s="62"/>
      <c r="B17" s="17"/>
      <c r="C17" s="17"/>
      <c r="D17" s="10" t="s">
        <v>139</v>
      </c>
      <c r="E17" s="53">
        <v>60</v>
      </c>
      <c r="F17" s="226">
        <v>2.73</v>
      </c>
      <c r="G17" s="27">
        <f t="shared" si="1"/>
        <v>163.80000000000001</v>
      </c>
      <c r="H17" s="57">
        <v>0.1</v>
      </c>
      <c r="I17" s="29">
        <f t="shared" si="2"/>
        <v>16.380000000000003</v>
      </c>
      <c r="J17" s="30">
        <f t="shared" si="0"/>
        <v>1.8349206699960225E-2</v>
      </c>
      <c r="K17" s="17"/>
      <c r="L17" s="17"/>
    </row>
    <row r="18" spans="1:12" x14ac:dyDescent="0.35">
      <c r="A18" s="62"/>
      <c r="B18" s="17"/>
      <c r="C18" s="17"/>
      <c r="D18" s="10" t="s">
        <v>140</v>
      </c>
      <c r="E18" s="53">
        <v>60</v>
      </c>
      <c r="F18" s="226">
        <v>2.73</v>
      </c>
      <c r="G18" s="27">
        <f t="shared" si="1"/>
        <v>163.80000000000001</v>
      </c>
      <c r="H18" s="57">
        <v>0.1</v>
      </c>
      <c r="I18" s="29">
        <f t="shared" si="2"/>
        <v>16.380000000000003</v>
      </c>
      <c r="J18" s="30">
        <f t="shared" si="0"/>
        <v>1.8349206699960225E-2</v>
      </c>
      <c r="K18" s="17"/>
      <c r="L18" s="17"/>
    </row>
    <row r="19" spans="1:12" ht="15.75" customHeight="1" x14ac:dyDescent="0.35">
      <c r="A19" s="62"/>
      <c r="B19" s="17"/>
      <c r="C19" s="17"/>
      <c r="D19" s="196" t="s">
        <v>141</v>
      </c>
      <c r="E19" s="53">
        <v>60</v>
      </c>
      <c r="F19" s="227">
        <v>2.73</v>
      </c>
      <c r="G19" s="27">
        <f t="shared" si="1"/>
        <v>163.80000000000001</v>
      </c>
      <c r="H19" s="57">
        <v>0.1</v>
      </c>
      <c r="I19" s="29">
        <f t="shared" si="2"/>
        <v>16.380000000000003</v>
      </c>
      <c r="J19" s="30">
        <f t="shared" si="0"/>
        <v>1.8349206699960225E-2</v>
      </c>
      <c r="K19" s="17"/>
      <c r="L19" s="17"/>
    </row>
    <row r="20" spans="1:12" ht="15" customHeight="1" thickBot="1" x14ac:dyDescent="0.4">
      <c r="A20" s="62"/>
      <c r="B20" s="17"/>
      <c r="C20" s="17"/>
      <c r="D20" s="11" t="s">
        <v>142</v>
      </c>
      <c r="E20" s="55">
        <v>60</v>
      </c>
      <c r="F20" s="228">
        <v>2.73</v>
      </c>
      <c r="G20" s="28">
        <f t="shared" si="1"/>
        <v>163.80000000000001</v>
      </c>
      <c r="H20" s="58">
        <v>0.1</v>
      </c>
      <c r="I20" s="31">
        <f t="shared" si="2"/>
        <v>16.380000000000003</v>
      </c>
      <c r="J20" s="32">
        <f t="shared" si="0"/>
        <v>1.8349206699960225E-2</v>
      </c>
      <c r="K20" s="17"/>
      <c r="L20" s="17"/>
    </row>
    <row r="21" spans="1:12" ht="15" customHeight="1" thickBot="1" x14ac:dyDescent="0.4">
      <c r="A21" s="62"/>
      <c r="B21" s="17"/>
      <c r="C21" s="17"/>
      <c r="D21" s="152"/>
      <c r="E21" s="152"/>
      <c r="F21" s="153"/>
      <c r="G21" s="154"/>
      <c r="H21" s="155"/>
      <c r="I21" s="156"/>
      <c r="J21" s="154"/>
      <c r="K21" s="17"/>
      <c r="L21" s="17"/>
    </row>
    <row r="22" spans="1:12" ht="15" thickBot="1" x14ac:dyDescent="0.4">
      <c r="A22" s="62"/>
      <c r="B22" s="17"/>
      <c r="C22" s="17"/>
      <c r="D22" s="157" t="s">
        <v>144</v>
      </c>
      <c r="E22" s="158"/>
      <c r="F22" s="159"/>
      <c r="G22" s="160">
        <f t="shared" ref="G22" si="3">E22*F22</f>
        <v>0</v>
      </c>
      <c r="H22" s="161"/>
      <c r="I22" s="162">
        <f t="shared" ref="I22" si="4">G22*H22</f>
        <v>0</v>
      </c>
      <c r="J22" s="163">
        <f>I22/$E$59</f>
        <v>0</v>
      </c>
      <c r="K22" s="17"/>
      <c r="L22" s="17"/>
    </row>
    <row r="23" spans="1:12" x14ac:dyDescent="0.35">
      <c r="A23" s="62"/>
      <c r="B23" s="17"/>
      <c r="C23" s="17"/>
      <c r="D23" s="17"/>
      <c r="E23" s="1"/>
      <c r="F23" s="17"/>
      <c r="G23" s="17"/>
      <c r="H23" s="17"/>
      <c r="I23" s="17"/>
      <c r="J23" s="17"/>
      <c r="K23" s="17"/>
      <c r="L23" s="17"/>
    </row>
    <row r="24" spans="1:12" ht="15.5" x14ac:dyDescent="0.35">
      <c r="A24" s="62"/>
      <c r="B24" s="17"/>
      <c r="C24" s="63" t="s">
        <v>58</v>
      </c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thickBot="1" x14ac:dyDescent="0.4">
      <c r="A25" s="62"/>
      <c r="B25" s="17"/>
      <c r="C25" s="17"/>
      <c r="D25" s="17"/>
      <c r="E25" s="64" t="s">
        <v>29</v>
      </c>
      <c r="F25" s="64" t="s">
        <v>30</v>
      </c>
      <c r="G25" s="65" t="s">
        <v>31</v>
      </c>
      <c r="H25" s="65" t="s">
        <v>32</v>
      </c>
      <c r="I25" s="65" t="s">
        <v>33</v>
      </c>
      <c r="J25" s="65" t="s">
        <v>34</v>
      </c>
      <c r="K25" s="17"/>
      <c r="L25" s="17"/>
    </row>
    <row r="26" spans="1:12" ht="58" x14ac:dyDescent="0.35">
      <c r="A26" s="61" t="s">
        <v>35</v>
      </c>
      <c r="B26" s="17"/>
      <c r="C26" s="17"/>
      <c r="D26" s="135" t="s">
        <v>105</v>
      </c>
      <c r="E26" s="12" t="s">
        <v>57</v>
      </c>
      <c r="F26" s="13" t="s">
        <v>16</v>
      </c>
      <c r="G26" s="13" t="s">
        <v>85</v>
      </c>
      <c r="H26" s="13" t="s">
        <v>59</v>
      </c>
      <c r="I26" s="13" t="s">
        <v>119</v>
      </c>
      <c r="J26" s="9" t="s">
        <v>118</v>
      </c>
      <c r="K26" s="17"/>
      <c r="L26" s="17"/>
    </row>
    <row r="27" spans="1:12" x14ac:dyDescent="0.35">
      <c r="A27" s="61" t="s">
        <v>36</v>
      </c>
      <c r="B27" s="17"/>
      <c r="C27" s="17"/>
      <c r="D27" s="10" t="s">
        <v>133</v>
      </c>
      <c r="E27" s="231">
        <v>15.05</v>
      </c>
      <c r="F27" s="57">
        <v>0.75</v>
      </c>
      <c r="G27" s="27">
        <f>E27/F27</f>
        <v>20.066666666666666</v>
      </c>
      <c r="H27" s="57">
        <v>0.8</v>
      </c>
      <c r="I27" s="27">
        <f>H27*G27</f>
        <v>16.053333333333335</v>
      </c>
      <c r="J27" s="30">
        <f>I27/12</f>
        <v>1.337777777777778</v>
      </c>
      <c r="K27" s="17"/>
      <c r="L27" s="17"/>
    </row>
    <row r="28" spans="1:12" x14ac:dyDescent="0.35">
      <c r="A28" s="17"/>
      <c r="B28" s="17"/>
      <c r="C28" s="17"/>
      <c r="D28" s="10" t="s">
        <v>134</v>
      </c>
      <c r="E28" s="231">
        <v>14.16</v>
      </c>
      <c r="F28" s="57">
        <v>0.75</v>
      </c>
      <c r="G28" s="27">
        <f t="shared" ref="G28:G36" si="5">E28/F28</f>
        <v>18.88</v>
      </c>
      <c r="H28" s="57">
        <v>0.8</v>
      </c>
      <c r="I28" s="27">
        <f t="shared" ref="I28:I36" si="6">H28*G28</f>
        <v>15.103999999999999</v>
      </c>
      <c r="J28" s="30">
        <f t="shared" ref="J28:J36" si="7">I28/12</f>
        <v>1.2586666666666666</v>
      </c>
      <c r="K28" s="17"/>
      <c r="L28" s="17"/>
    </row>
    <row r="29" spans="1:12" x14ac:dyDescent="0.35">
      <c r="A29" s="17"/>
      <c r="B29" s="17"/>
      <c r="C29" s="17"/>
      <c r="D29" s="10" t="s">
        <v>135</v>
      </c>
      <c r="E29" s="231">
        <v>13.75</v>
      </c>
      <c r="F29" s="57">
        <v>0.75</v>
      </c>
      <c r="G29" s="27">
        <f t="shared" si="5"/>
        <v>18.333333333333332</v>
      </c>
      <c r="H29" s="57">
        <v>0.8</v>
      </c>
      <c r="I29" s="27">
        <f t="shared" si="6"/>
        <v>14.666666666666666</v>
      </c>
      <c r="J29" s="30">
        <f t="shared" si="7"/>
        <v>1.2222222222222221</v>
      </c>
      <c r="K29" s="17"/>
      <c r="L29" s="17"/>
    </row>
    <row r="30" spans="1:12" x14ac:dyDescent="0.35">
      <c r="A30" s="17"/>
      <c r="B30" s="17"/>
      <c r="C30" s="17"/>
      <c r="D30" s="10" t="s">
        <v>136</v>
      </c>
      <c r="E30" s="231">
        <v>15.71</v>
      </c>
      <c r="F30" s="57">
        <v>0.75</v>
      </c>
      <c r="G30" s="27">
        <f t="shared" si="5"/>
        <v>20.946666666666669</v>
      </c>
      <c r="H30" s="57">
        <v>0.8</v>
      </c>
      <c r="I30" s="27">
        <f t="shared" si="6"/>
        <v>16.757333333333335</v>
      </c>
      <c r="J30" s="30">
        <f t="shared" si="7"/>
        <v>1.3964444444444446</v>
      </c>
      <c r="K30" s="17"/>
      <c r="L30" s="17"/>
    </row>
    <row r="31" spans="1:12" x14ac:dyDescent="0.35">
      <c r="A31" s="17"/>
      <c r="B31" s="17"/>
      <c r="C31" s="17"/>
      <c r="D31" s="10" t="s">
        <v>137</v>
      </c>
      <c r="E31" s="231">
        <v>14.43</v>
      </c>
      <c r="F31" s="57">
        <v>0.75</v>
      </c>
      <c r="G31" s="27">
        <f t="shared" si="5"/>
        <v>19.239999999999998</v>
      </c>
      <c r="H31" s="57">
        <v>0.8</v>
      </c>
      <c r="I31" s="27">
        <f t="shared" si="6"/>
        <v>15.391999999999999</v>
      </c>
      <c r="J31" s="30">
        <f t="shared" si="7"/>
        <v>1.2826666666666666</v>
      </c>
      <c r="K31" s="17"/>
      <c r="L31" s="17"/>
    </row>
    <row r="32" spans="1:12" x14ac:dyDescent="0.35">
      <c r="A32" s="17"/>
      <c r="B32" s="17"/>
      <c r="C32" s="17"/>
      <c r="D32" s="10" t="s">
        <v>138</v>
      </c>
      <c r="E32" s="231">
        <v>16.97</v>
      </c>
      <c r="F32" s="57">
        <v>0.75</v>
      </c>
      <c r="G32" s="27">
        <f t="shared" si="5"/>
        <v>22.626666666666665</v>
      </c>
      <c r="H32" s="57">
        <v>0.8</v>
      </c>
      <c r="I32" s="27">
        <f t="shared" si="6"/>
        <v>18.101333333333333</v>
      </c>
      <c r="J32" s="30">
        <f t="shared" si="7"/>
        <v>1.5084444444444445</v>
      </c>
      <c r="K32" s="17"/>
      <c r="L32" s="17"/>
    </row>
    <row r="33" spans="1:12" x14ac:dyDescent="0.35">
      <c r="A33" s="17"/>
      <c r="B33" s="17"/>
      <c r="C33" s="17"/>
      <c r="D33" s="10" t="s">
        <v>139</v>
      </c>
      <c r="E33" s="231">
        <v>16.3</v>
      </c>
      <c r="F33" s="57">
        <v>0.75</v>
      </c>
      <c r="G33" s="27">
        <f t="shared" si="5"/>
        <v>21.733333333333334</v>
      </c>
      <c r="H33" s="57">
        <v>0.8</v>
      </c>
      <c r="I33" s="27">
        <f t="shared" si="6"/>
        <v>17.386666666666667</v>
      </c>
      <c r="J33" s="30">
        <f t="shared" si="7"/>
        <v>1.4488888888888889</v>
      </c>
      <c r="K33" s="17"/>
      <c r="L33" s="17"/>
    </row>
    <row r="34" spans="1:12" x14ac:dyDescent="0.35">
      <c r="A34" s="17"/>
      <c r="B34" s="17"/>
      <c r="C34" s="17"/>
      <c r="D34" s="10" t="s">
        <v>140</v>
      </c>
      <c r="E34" s="231">
        <v>15.53</v>
      </c>
      <c r="F34" s="57">
        <v>0.75</v>
      </c>
      <c r="G34" s="27">
        <f t="shared" si="5"/>
        <v>20.706666666666667</v>
      </c>
      <c r="H34" s="57">
        <v>0.8</v>
      </c>
      <c r="I34" s="27">
        <f t="shared" si="6"/>
        <v>16.565333333333335</v>
      </c>
      <c r="J34" s="30">
        <f t="shared" si="7"/>
        <v>1.3804444444444446</v>
      </c>
      <c r="K34" s="17"/>
      <c r="L34" s="17"/>
    </row>
    <row r="35" spans="1:12" x14ac:dyDescent="0.35">
      <c r="A35" s="17"/>
      <c r="B35" s="17"/>
      <c r="C35" s="17"/>
      <c r="D35" s="196" t="s">
        <v>141</v>
      </c>
      <c r="E35" s="231">
        <v>14.82</v>
      </c>
      <c r="F35" s="57">
        <v>0.75</v>
      </c>
      <c r="G35" s="27">
        <f t="shared" si="5"/>
        <v>19.760000000000002</v>
      </c>
      <c r="H35" s="57">
        <v>0.8</v>
      </c>
      <c r="I35" s="27">
        <f t="shared" si="6"/>
        <v>15.808000000000002</v>
      </c>
      <c r="J35" s="30">
        <f t="shared" si="7"/>
        <v>1.3173333333333335</v>
      </c>
      <c r="K35" s="17"/>
    </row>
    <row r="36" spans="1:12" ht="15" thickBot="1" x14ac:dyDescent="0.4">
      <c r="A36" s="17"/>
      <c r="B36" s="17"/>
      <c r="C36" s="17"/>
      <c r="D36" s="11" t="s">
        <v>142</v>
      </c>
      <c r="E36" s="232">
        <v>15.63</v>
      </c>
      <c r="F36" s="58">
        <v>0.75</v>
      </c>
      <c r="G36" s="28">
        <f t="shared" si="5"/>
        <v>20.84</v>
      </c>
      <c r="H36" s="58">
        <v>0.8</v>
      </c>
      <c r="I36" s="28">
        <f t="shared" si="6"/>
        <v>16.672000000000001</v>
      </c>
      <c r="J36" s="32">
        <f t="shared" si="7"/>
        <v>1.3893333333333333</v>
      </c>
      <c r="K36" s="17"/>
      <c r="L36" s="38"/>
    </row>
    <row r="37" spans="1:12" ht="15" thickBot="1" x14ac:dyDescent="0.4">
      <c r="A37" s="17"/>
      <c r="B37" s="17"/>
      <c r="C37" s="17"/>
      <c r="D37" s="164"/>
      <c r="E37" s="164"/>
      <c r="F37" s="165"/>
      <c r="G37" s="166"/>
      <c r="H37" s="165"/>
      <c r="I37" s="166"/>
      <c r="J37" s="166"/>
      <c r="K37" s="17"/>
    </row>
    <row r="38" spans="1:12" ht="15" thickBot="1" x14ac:dyDescent="0.4">
      <c r="A38" s="17"/>
      <c r="B38" s="17"/>
      <c r="C38" s="17"/>
      <c r="D38" s="157" t="s">
        <v>144</v>
      </c>
      <c r="E38" s="85"/>
      <c r="F38" s="86"/>
      <c r="G38" s="68" t="e">
        <f t="shared" ref="G38" si="8">E38/F38</f>
        <v>#DIV/0!</v>
      </c>
      <c r="H38" s="86"/>
      <c r="I38" s="68" t="e">
        <f t="shared" ref="I38" si="9">H38*G38</f>
        <v>#DIV/0!</v>
      </c>
      <c r="J38" s="69" t="e">
        <f t="shared" ref="J38" si="10">I38/12</f>
        <v>#DIV/0!</v>
      </c>
      <c r="K38" s="17"/>
    </row>
    <row r="39" spans="1:1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2" ht="15.5" x14ac:dyDescent="0.35">
      <c r="A40" s="17"/>
      <c r="B40" s="17"/>
      <c r="C40" s="63" t="s">
        <v>45</v>
      </c>
      <c r="D40" s="17"/>
      <c r="E40" s="17"/>
      <c r="F40" s="17"/>
      <c r="G40" s="17"/>
      <c r="H40" s="17"/>
      <c r="I40" s="17"/>
      <c r="J40" s="17"/>
      <c r="K40" s="17"/>
    </row>
    <row r="41" spans="1:12" x14ac:dyDescent="0.35">
      <c r="A41" s="17"/>
      <c r="B41" s="17"/>
      <c r="C41" s="17"/>
      <c r="D41" s="17"/>
      <c r="J41" s="17"/>
      <c r="K41" s="17"/>
    </row>
    <row r="42" spans="1:12" ht="15" thickBot="1" x14ac:dyDescent="0.4">
      <c r="A42" s="17"/>
      <c r="B42" s="17"/>
      <c r="C42" s="17"/>
      <c r="D42" s="17"/>
      <c r="E42" s="136" t="s">
        <v>37</v>
      </c>
      <c r="F42" s="136" t="s">
        <v>38</v>
      </c>
      <c r="G42" s="136" t="s">
        <v>40</v>
      </c>
      <c r="H42" s="136" t="s">
        <v>41</v>
      </c>
      <c r="I42" s="136" t="s">
        <v>39</v>
      </c>
      <c r="J42" s="17"/>
      <c r="K42" s="17"/>
    </row>
    <row r="43" spans="1:12" ht="15" customHeight="1" x14ac:dyDescent="0.35">
      <c r="A43" s="19"/>
      <c r="B43" s="17"/>
      <c r="C43" s="17"/>
      <c r="D43" s="23" t="s">
        <v>105</v>
      </c>
      <c r="E43" s="26" t="s">
        <v>117</v>
      </c>
      <c r="F43" s="137" t="s">
        <v>27</v>
      </c>
      <c r="G43" s="13" t="s">
        <v>49</v>
      </c>
      <c r="H43" s="13" t="s">
        <v>81</v>
      </c>
      <c r="I43" s="9" t="s">
        <v>17</v>
      </c>
      <c r="J43" s="17"/>
      <c r="K43" s="17"/>
    </row>
    <row r="44" spans="1:12" x14ac:dyDescent="0.35">
      <c r="A44" s="61" t="s">
        <v>42</v>
      </c>
      <c r="B44" s="17"/>
      <c r="C44" s="17"/>
      <c r="D44" s="24" t="s">
        <v>133</v>
      </c>
      <c r="E44" s="229">
        <v>2</v>
      </c>
      <c r="F44" s="33">
        <f t="shared" ref="F44:F53" si="11">E44*J11</f>
        <v>3.6967266245341107E-2</v>
      </c>
      <c r="G44" s="109">
        <v>0.5</v>
      </c>
      <c r="H44" s="27">
        <f t="shared" ref="H44:H53" si="12">G44*E44*J27</f>
        <v>1.337777777777778</v>
      </c>
      <c r="I44" s="30">
        <f>F44+H44</f>
        <v>1.374745044023119</v>
      </c>
      <c r="J44" s="17"/>
      <c r="K44" s="17"/>
    </row>
    <row r="45" spans="1:12" x14ac:dyDescent="0.35">
      <c r="A45" s="61" t="s">
        <v>43</v>
      </c>
      <c r="B45" s="17"/>
      <c r="C45" s="17"/>
      <c r="D45" s="24" t="s">
        <v>134</v>
      </c>
      <c r="E45" s="229">
        <v>5</v>
      </c>
      <c r="F45" s="33">
        <f t="shared" si="11"/>
        <v>9.2418165613352768E-2</v>
      </c>
      <c r="G45" s="109">
        <v>0.5</v>
      </c>
      <c r="H45" s="27">
        <f t="shared" si="12"/>
        <v>3.1466666666666665</v>
      </c>
      <c r="I45" s="30">
        <f t="shared" ref="I45:I55" si="13">F45+H45</f>
        <v>3.2390848322800192</v>
      </c>
      <c r="J45" s="17"/>
      <c r="K45" s="17"/>
    </row>
    <row r="46" spans="1:12" x14ac:dyDescent="0.35">
      <c r="A46" s="61" t="s">
        <v>44</v>
      </c>
      <c r="B46" s="17"/>
      <c r="C46" s="17"/>
      <c r="D46" s="24" t="s">
        <v>135</v>
      </c>
      <c r="E46" s="229">
        <v>118</v>
      </c>
      <c r="F46" s="33">
        <f t="shared" si="11"/>
        <v>2.1810687084751255</v>
      </c>
      <c r="G46" s="109">
        <v>0.5</v>
      </c>
      <c r="H46" s="27">
        <f t="shared" si="12"/>
        <v>72.1111111111111</v>
      </c>
      <c r="I46" s="30">
        <f t="shared" si="13"/>
        <v>74.292179819586224</v>
      </c>
      <c r="J46" s="17"/>
      <c r="K46" s="17"/>
    </row>
    <row r="47" spans="1:12" ht="15.75" customHeight="1" x14ac:dyDescent="0.35">
      <c r="A47" s="61"/>
      <c r="B47" s="17"/>
      <c r="C47" s="17"/>
      <c r="D47" s="24" t="s">
        <v>136</v>
      </c>
      <c r="E47" s="229">
        <v>8</v>
      </c>
      <c r="F47" s="33">
        <f t="shared" si="11"/>
        <v>0.1467936535996818</v>
      </c>
      <c r="G47" s="109">
        <v>0.5</v>
      </c>
      <c r="H47" s="27">
        <f t="shared" si="12"/>
        <v>5.5857777777777784</v>
      </c>
      <c r="I47" s="30">
        <f t="shared" si="13"/>
        <v>5.7325714313774601</v>
      </c>
      <c r="J47" s="17"/>
      <c r="K47" s="17"/>
    </row>
    <row r="48" spans="1:12" x14ac:dyDescent="0.35">
      <c r="A48" s="19"/>
      <c r="B48" s="17"/>
      <c r="C48" s="17"/>
      <c r="D48" s="24" t="s">
        <v>137</v>
      </c>
      <c r="E48" s="229">
        <v>234</v>
      </c>
      <c r="F48" s="33">
        <f t="shared" si="11"/>
        <v>4.3066112387855213</v>
      </c>
      <c r="G48" s="109">
        <v>0.5</v>
      </c>
      <c r="H48" s="27">
        <f t="shared" si="12"/>
        <v>150.072</v>
      </c>
      <c r="I48" s="30">
        <f t="shared" si="13"/>
        <v>154.37861123878554</v>
      </c>
      <c r="J48" s="17"/>
      <c r="K48" s="17"/>
    </row>
    <row r="49" spans="1:11" x14ac:dyDescent="0.35">
      <c r="A49" s="61"/>
      <c r="B49" s="17"/>
      <c r="C49" s="17"/>
      <c r="D49" s="24" t="s">
        <v>138</v>
      </c>
      <c r="E49" s="229">
        <v>4</v>
      </c>
      <c r="F49" s="33">
        <f t="shared" si="11"/>
        <v>7.33968267998409E-2</v>
      </c>
      <c r="G49" s="109">
        <v>0.5</v>
      </c>
      <c r="H49" s="27">
        <f t="shared" si="12"/>
        <v>3.016888888888889</v>
      </c>
      <c r="I49" s="30">
        <f t="shared" si="13"/>
        <v>3.0902857156887298</v>
      </c>
      <c r="J49" s="17"/>
      <c r="K49" s="17"/>
    </row>
    <row r="50" spans="1:11" x14ac:dyDescent="0.35">
      <c r="A50" s="61"/>
      <c r="B50" s="17"/>
      <c r="C50" s="17"/>
      <c r="D50" s="24" t="s">
        <v>139</v>
      </c>
      <c r="E50" s="229">
        <v>15</v>
      </c>
      <c r="F50" s="33">
        <f t="shared" si="11"/>
        <v>0.27523810049940339</v>
      </c>
      <c r="G50" s="109">
        <v>0.5</v>
      </c>
      <c r="H50" s="27">
        <f t="shared" si="12"/>
        <v>10.866666666666667</v>
      </c>
      <c r="I50" s="30">
        <f t="shared" si="13"/>
        <v>11.141904767166071</v>
      </c>
      <c r="J50" s="17"/>
      <c r="K50" s="17"/>
    </row>
    <row r="51" spans="1:11" ht="15" customHeight="1" x14ac:dyDescent="0.35">
      <c r="A51" s="61"/>
      <c r="B51" s="17"/>
      <c r="C51" s="17"/>
      <c r="D51" s="24" t="s">
        <v>140</v>
      </c>
      <c r="E51" s="229">
        <v>6</v>
      </c>
      <c r="F51" s="33">
        <f t="shared" si="11"/>
        <v>0.11009524019976136</v>
      </c>
      <c r="G51" s="109">
        <v>0.5</v>
      </c>
      <c r="H51" s="27">
        <f t="shared" si="12"/>
        <v>4.1413333333333338</v>
      </c>
      <c r="I51" s="30">
        <f t="shared" si="13"/>
        <v>4.2514285735330954</v>
      </c>
      <c r="J51" s="17"/>
      <c r="K51" s="17"/>
    </row>
    <row r="52" spans="1:11" x14ac:dyDescent="0.35">
      <c r="A52" s="61"/>
      <c r="B52" s="17"/>
      <c r="C52" s="17"/>
      <c r="D52" s="208" t="s">
        <v>141</v>
      </c>
      <c r="E52" s="229">
        <v>235</v>
      </c>
      <c r="F52" s="33">
        <f t="shared" si="11"/>
        <v>4.3120635744906526</v>
      </c>
      <c r="G52" s="109">
        <v>0.5</v>
      </c>
      <c r="H52" s="27">
        <f t="shared" si="12"/>
        <v>154.78666666666669</v>
      </c>
      <c r="I52" s="30">
        <f t="shared" si="13"/>
        <v>159.09873024115734</v>
      </c>
      <c r="J52" s="17"/>
      <c r="K52" s="17"/>
    </row>
    <row r="53" spans="1:11" ht="15" thickBot="1" x14ac:dyDescent="0.4">
      <c r="A53" s="61"/>
      <c r="B53" s="17"/>
      <c r="C53" s="17"/>
      <c r="D53" s="25" t="s">
        <v>142</v>
      </c>
      <c r="E53" s="230">
        <v>340</v>
      </c>
      <c r="F53" s="34">
        <f t="shared" si="11"/>
        <v>6.2387302779864768</v>
      </c>
      <c r="G53" s="122">
        <v>0.5</v>
      </c>
      <c r="H53" s="28">
        <f t="shared" si="12"/>
        <v>236.18666666666667</v>
      </c>
      <c r="I53" s="32">
        <f t="shared" si="13"/>
        <v>242.42539694465313</v>
      </c>
      <c r="J53" s="17"/>
      <c r="K53" s="17"/>
    </row>
    <row r="54" spans="1:11" ht="15" thickBot="1" x14ac:dyDescent="0.4">
      <c r="A54" s="61"/>
      <c r="B54" s="17"/>
      <c r="C54" s="17"/>
      <c r="D54" s="164"/>
      <c r="E54" s="164"/>
      <c r="F54" s="166"/>
      <c r="G54" s="167"/>
      <c r="H54" s="166"/>
      <c r="I54" s="166"/>
      <c r="J54" s="17"/>
      <c r="K54" s="17"/>
    </row>
    <row r="55" spans="1:11" ht="15" thickBot="1" x14ac:dyDescent="0.4">
      <c r="B55" s="17"/>
      <c r="C55" s="17"/>
      <c r="D55" s="157" t="s">
        <v>144</v>
      </c>
      <c r="E55" s="66"/>
      <c r="F55" s="67">
        <f>E55*J22</f>
        <v>0</v>
      </c>
      <c r="G55" s="87"/>
      <c r="H55" s="68" t="e">
        <f t="shared" ref="H55" si="14">G55*E55*J38</f>
        <v>#DIV/0!</v>
      </c>
      <c r="I55" s="69" t="e">
        <f t="shared" si="13"/>
        <v>#DIV/0!</v>
      </c>
      <c r="J55" s="17"/>
      <c r="K55" s="17"/>
    </row>
    <row r="56" spans="1:11" x14ac:dyDescent="0.35">
      <c r="C56" s="17"/>
      <c r="D56" s="17"/>
      <c r="E56" s="17"/>
      <c r="F56" s="17"/>
      <c r="G56" s="17"/>
      <c r="H56" s="17"/>
      <c r="I56" s="17"/>
      <c r="J56" s="17"/>
    </row>
    <row r="58" spans="1:11" ht="15.5" x14ac:dyDescent="0.35">
      <c r="C58" s="63" t="s">
        <v>95</v>
      </c>
    </row>
    <row r="59" spans="1:11" x14ac:dyDescent="0.35">
      <c r="D59" s="99" t="s">
        <v>70</v>
      </c>
      <c r="E59" s="100">
        <f>(7.48*43560)/365</f>
        <v>892.68164383561657</v>
      </c>
      <c r="F59" s="21" t="s">
        <v>71</v>
      </c>
    </row>
    <row r="60" spans="1:11" x14ac:dyDescent="0.35">
      <c r="D60" s="99" t="s">
        <v>70</v>
      </c>
      <c r="E60" s="100">
        <f>43560/(365*24*3600)</f>
        <v>1.3812785388127853E-3</v>
      </c>
      <c r="F60" s="21" t="s">
        <v>72</v>
      </c>
    </row>
  </sheetData>
  <sheetProtection algorithmName="SHA-512" hashValue="CdOL3nU4Ve1osDD9GVGwQ4DYK4BXBQojGSOyHLetGhSLLnqAEOQbaDVOPGRhOhwDUffIhQlS/8znsyxk7vThfQ==" saltValue="ETD3vv31FinpX9MR9eGrgQ==" spinCount="100000" sheet="1" objects="1" scenarios="1"/>
  <mergeCells count="1">
    <mergeCell ref="B5:K5"/>
  </mergeCells>
  <pageMargins left="0.7" right="0.7" top="0.75" bottom="0.75" header="0.3" footer="0.3"/>
  <pageSetup paperSize="17" scale="74" orientation="landscape" horizontalDpi="1200" verticalDpi="1200" r:id="rId1"/>
  <colBreaks count="1" manualBreakCount="1">
    <brk id="11" min="4" max="4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ED565BBD1434694F55D60D1AC51F4" ma:contentTypeVersion="4" ma:contentTypeDescription="Create a new document." ma:contentTypeScope="" ma:versionID="0f0e499c195883a05da68648a14dd41d">
  <xsd:schema xmlns:xsd="http://www.w3.org/2001/XMLSchema" xmlns:xs="http://www.w3.org/2001/XMLSchema" xmlns:p="http://schemas.microsoft.com/office/2006/metadata/properties" xmlns:ns2="81b753b0-5f84-4476-b087-97d9c3e0d4e3" xmlns:ns3="fa9a4940-7a8b-4399-b0b9-597dee2fdc40" targetNamespace="http://schemas.microsoft.com/office/2006/metadata/properties" ma:root="true" ma:fieldsID="9d23ff41967d2128eb7b1e7c8351325a" ns2:_="" ns3:_="">
    <xsd:import namespace="81b753b0-5f84-4476-b087-97d9c3e0d4e3"/>
    <xsd:import namespace="fa9a4940-7a8b-4399-b0b9-597dee2fdc40"/>
    <xsd:element name="properties">
      <xsd:complexType>
        <xsd:sequence>
          <xsd:element name="documentManagement">
            <xsd:complexType>
              <xsd:all>
                <xsd:element ref="ns2:WRIA"/>
                <xsd:element ref="ns2:Accessibility" minOccurs="0"/>
                <xsd:element ref="ns2:EZvie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753b0-5f84-4476-b087-97d9c3e0d4e3" elementFormDefault="qualified">
    <xsd:import namespace="http://schemas.microsoft.com/office/2006/documentManagement/types"/>
    <xsd:import namespace="http://schemas.microsoft.com/office/infopath/2007/PartnerControls"/>
    <xsd:element name="WRIA" ma:index="8" ma:displayName="WRIA" ma:default="Multiple" ma:description="Committee's WRIA" ma:format="Dropdown" ma:internalName="WRIA">
      <xsd:simpleType>
        <xsd:restriction base="dms:Choice">
          <xsd:enumeration value="7"/>
          <xsd:enumeration value="8"/>
          <xsd:enumeration value="9"/>
          <xsd:enumeration value="10"/>
          <xsd:enumeration value="12"/>
          <xsd:enumeration value="Multiple"/>
          <xsd:enumeration value="13"/>
          <xsd:enumeration value="14"/>
          <xsd:enumeration value="15"/>
        </xsd:restriction>
      </xsd:simpleType>
    </xsd:element>
    <xsd:element name="Accessibility" ma:index="9" nillable="true" ma:displayName="Accessibility" ma:default="Needs review" ma:description="Status of Accessibility check." ma:format="Dropdown" ma:internalName="Accessibility">
      <xsd:simpleType>
        <xsd:restriction base="dms:Choice">
          <xsd:enumeration value="Sent Back to Planner"/>
          <xsd:enumeration value="Needs review"/>
          <xsd:enumeration value="In Progress"/>
          <xsd:enumeration value="Completed"/>
          <xsd:enumeration value="Does Not Pass"/>
        </xsd:restriction>
      </xsd:simpleType>
    </xsd:element>
    <xsd:element name="EZview" ma:index="10" nillable="true" ma:displayName="EZview" ma:default="Needs to be posted" ma:description="Status of document on EZview." ma:format="Dropdown" ma:internalName="EZview">
      <xsd:simpleType>
        <xsd:restriction base="dms:Choice">
          <xsd:enumeration value="Needs to be posted"/>
          <xsd:enumeration value="Pending review"/>
          <xsd:enumeration value="Posted"/>
          <xsd:enumeration value="Remo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4940-7a8b-4399-b0b9-597dee2fd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Zview xmlns="81b753b0-5f84-4476-b087-97d9c3e0d4e3">Needs to be posted</EZview>
    <WRIA xmlns="81b753b0-5f84-4476-b087-97d9c3e0d4e3">8</WRIA>
    <Accessibility xmlns="81b753b0-5f84-4476-b087-97d9c3e0d4e3">Needs review</Accessibility>
  </documentManagement>
</p:properties>
</file>

<file path=customXml/itemProps1.xml><?xml version="1.0" encoding="utf-8"?>
<ds:datastoreItem xmlns:ds="http://schemas.openxmlformats.org/officeDocument/2006/customXml" ds:itemID="{02E99977-694B-4F9B-A52F-5233F450ED23}"/>
</file>

<file path=customXml/itemProps2.xml><?xml version="1.0" encoding="utf-8"?>
<ds:datastoreItem xmlns:ds="http://schemas.openxmlformats.org/officeDocument/2006/customXml" ds:itemID="{D7E1E02F-0E34-4F55-9A90-F73C99F4D780}"/>
</file>

<file path=customXml/itemProps3.xml><?xml version="1.0" encoding="utf-8"?>
<ds:datastoreItem xmlns:ds="http://schemas.openxmlformats.org/officeDocument/2006/customXml" ds:itemID="{60F2CE8F-E63A-49E3-84C2-BB08DB0C1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Information</vt:lpstr>
      <vt:lpstr>SUMMARY Annual</vt:lpstr>
      <vt:lpstr>SUMMARY Summer</vt:lpstr>
      <vt:lpstr>CALC Variable Supply-Year</vt:lpstr>
      <vt:lpstr>CALC Variable Supply-Summer</vt:lpstr>
      <vt:lpstr>CALC Fixed Supply-Year</vt:lpstr>
      <vt:lpstr>CALC Fixed Supply-Summer</vt:lpstr>
      <vt:lpstr>SCEN Subbasin Avg Year</vt:lpstr>
      <vt:lpstr>SCEN 0.5ac Year</vt:lpstr>
      <vt:lpstr>SCEN 950 gpd Year</vt:lpstr>
      <vt:lpstr>SCEN SnoPUD Year</vt:lpstr>
      <vt:lpstr>SCEN Subbasin Avg Summer</vt:lpstr>
      <vt:lpstr>SCEN 0.5ac Summer</vt:lpstr>
      <vt:lpstr>SCEN 950 gpd Summer</vt:lpstr>
      <vt:lpstr>SCEN SnoPUD Summer</vt:lpstr>
      <vt:lpstr>'CALC Fixed Supply-Summer'!Print_Area</vt:lpstr>
      <vt:lpstr>'CALC Fixed Supply-Year'!Print_Area</vt:lpstr>
      <vt:lpstr>'CALC Variable Supply-Summer'!Print_Area</vt:lpstr>
      <vt:lpstr>'CALC Variable Supply-Year'!Print_Area</vt:lpstr>
      <vt:lpstr>'SCEN 0.5ac Summer'!Print_Area</vt:lpstr>
      <vt:lpstr>'SCEN 0.5ac Year'!Print_Area</vt:lpstr>
      <vt:lpstr>'SCEN 950 gpd Summer'!Print_Area</vt:lpstr>
      <vt:lpstr>'SCEN 950 gpd Year'!Print_Area</vt:lpstr>
      <vt:lpstr>'SCEN SnoPUD Summer'!Print_Area</vt:lpstr>
      <vt:lpstr>'SCEN SnoPUD Year'!Print_Area</vt:lpstr>
      <vt:lpstr>'SCEN Subbasin Avg Summer'!Print_Area</vt:lpstr>
      <vt:lpstr>'SCEN Subbasin Avg Year'!Print_Area</vt:lpstr>
      <vt:lpstr>'SUMMARY Annual'!Print_Area</vt:lpstr>
      <vt:lpstr>'SUMMARY Summer'!Print_Area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WRIA 8 Consumptive Use Calculator v5</dc:title>
  <dc:creator>Rebecca Ryan</dc:creator>
  <cp:lastModifiedBy>Potts, Stephanie (ECY)</cp:lastModifiedBy>
  <dcterms:created xsi:type="dcterms:W3CDTF">2019-09-27T15:05:01Z</dcterms:created>
  <dcterms:modified xsi:type="dcterms:W3CDTF">2019-11-07T23:46:52Z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0x010100E87ED565BBD1434694F55D60D1AC51F4</vt:lpwstr>
  </property>
</Properties>
</file>