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ro461\Desktop\WRIA 10 Meeting\"/>
    </mc:Choice>
  </mc:AlternateContent>
  <bookViews>
    <workbookView xWindow="2310" yWindow="345" windowWidth="25095" windowHeight="14790"/>
  </bookViews>
  <sheets>
    <sheet name="Consumptive Use Calculator" sheetId="7" r:id="rId1"/>
    <sheet name="Seasonal Analysis" sheetId="9" r:id="rId2"/>
    <sheet name="WAIG" sheetId="5" r:id="rId3"/>
    <sheet name="PE Growth" sheetId="11" r:id="rId4"/>
    <sheet name="Water Use Data" sheetId="8" r:id="rId5"/>
    <sheet name=" Irrigated Area Calcs" sheetId="10" r:id="rId6"/>
    <sheet name="Sheet1" sheetId="6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8" l="1"/>
  <c r="G12" i="8" l="1"/>
  <c r="F12" i="8"/>
  <c r="O45" i="9"/>
  <c r="N45" i="9"/>
  <c r="E45" i="9"/>
  <c r="D45" i="9"/>
  <c r="F44" i="9"/>
  <c r="N42" i="9"/>
  <c r="M42" i="9"/>
  <c r="F42" i="9"/>
  <c r="D42" i="9"/>
  <c r="O41" i="9"/>
  <c r="N41" i="9"/>
  <c r="E41" i="9"/>
  <c r="D41" i="9"/>
  <c r="F40" i="9"/>
  <c r="C45" i="9"/>
  <c r="C44" i="9"/>
  <c r="C43" i="9"/>
  <c r="C42" i="9"/>
  <c r="C41" i="9"/>
  <c r="C40" i="9"/>
  <c r="C39" i="9"/>
  <c r="C28" i="9"/>
  <c r="C33" i="9" s="1"/>
  <c r="C5" i="9"/>
  <c r="K17" i="5"/>
  <c r="J17" i="5"/>
  <c r="I17" i="5"/>
  <c r="H17" i="5"/>
  <c r="G17" i="5"/>
  <c r="F17" i="5"/>
  <c r="C4" i="9"/>
  <c r="C9" i="9" s="1"/>
  <c r="K47" i="7"/>
  <c r="K46" i="7"/>
  <c r="K45" i="7"/>
  <c r="L45" i="7" s="1"/>
  <c r="K44" i="7"/>
  <c r="L44" i="7" s="1"/>
  <c r="K43" i="7"/>
  <c r="K42" i="7"/>
  <c r="K41" i="7"/>
  <c r="L41" i="7" s="1"/>
  <c r="L47" i="7"/>
  <c r="J47" i="7"/>
  <c r="J46" i="7"/>
  <c r="J45" i="7"/>
  <c r="J44" i="7"/>
  <c r="J43" i="7"/>
  <c r="L43" i="7" s="1"/>
  <c r="J42" i="7"/>
  <c r="L42" i="7" s="1"/>
  <c r="J41" i="7"/>
  <c r="L30" i="7"/>
  <c r="L29" i="7"/>
  <c r="L26" i="7"/>
  <c r="L25" i="7"/>
  <c r="K31" i="7"/>
  <c r="K30" i="7"/>
  <c r="K29" i="7"/>
  <c r="K28" i="7"/>
  <c r="K27" i="7"/>
  <c r="K26" i="7"/>
  <c r="K25" i="7"/>
  <c r="J31" i="7"/>
  <c r="L31" i="7" s="1"/>
  <c r="J30" i="7"/>
  <c r="J29" i="7"/>
  <c r="J28" i="7"/>
  <c r="L28" i="7" s="1"/>
  <c r="J27" i="7"/>
  <c r="L27" i="7" s="1"/>
  <c r="J26" i="7"/>
  <c r="J25" i="7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4" i="11"/>
  <c r="J4" i="11"/>
  <c r="L15" i="7"/>
  <c r="C22" i="9" s="1"/>
  <c r="L14" i="7"/>
  <c r="C21" i="9" s="1"/>
  <c r="L11" i="7"/>
  <c r="C18" i="9" s="1"/>
  <c r="L10" i="7"/>
  <c r="C17" i="9" s="1"/>
  <c r="K15" i="7"/>
  <c r="K14" i="7"/>
  <c r="K13" i="7"/>
  <c r="K12" i="7"/>
  <c r="K11" i="7"/>
  <c r="K10" i="7"/>
  <c r="K9" i="7"/>
  <c r="J15" i="7"/>
  <c r="J14" i="7"/>
  <c r="J13" i="7"/>
  <c r="L13" i="7" s="1"/>
  <c r="C20" i="9" s="1"/>
  <c r="J12" i="7"/>
  <c r="L12" i="7" s="1"/>
  <c r="C19" i="9" s="1"/>
  <c r="J11" i="7"/>
  <c r="J10" i="7"/>
  <c r="J9" i="7"/>
  <c r="L9" i="7" s="1"/>
  <c r="C16" i="9" s="1"/>
  <c r="G10" i="11"/>
  <c r="G9" i="11"/>
  <c r="G8" i="11"/>
  <c r="G7" i="11"/>
  <c r="G6" i="11"/>
  <c r="G5" i="11"/>
  <c r="G4" i="11"/>
  <c r="H11" i="11"/>
  <c r="F11" i="11"/>
  <c r="D11" i="11"/>
  <c r="N43" i="9" l="1"/>
  <c r="O39" i="9"/>
  <c r="E43" i="9"/>
  <c r="L46" i="7"/>
  <c r="F39" i="9"/>
  <c r="D40" i="9"/>
  <c r="N40" i="9"/>
  <c r="F41" i="9"/>
  <c r="F43" i="9"/>
  <c r="D44" i="9"/>
  <c r="N44" i="9"/>
  <c r="F45" i="9"/>
  <c r="D39" i="9"/>
  <c r="N39" i="9"/>
  <c r="D43" i="9"/>
  <c r="E39" i="9"/>
  <c r="M40" i="9"/>
  <c r="O43" i="9"/>
  <c r="M44" i="9"/>
  <c r="M39" i="9"/>
  <c r="E40" i="9"/>
  <c r="O40" i="9"/>
  <c r="M41" i="9"/>
  <c r="E42" i="9"/>
  <c r="O42" i="9"/>
  <c r="M43" i="9"/>
  <c r="E44" i="9"/>
  <c r="O44" i="9"/>
  <c r="M45" i="9"/>
  <c r="C23" i="9"/>
  <c r="J22" i="9"/>
  <c r="D18" i="9"/>
  <c r="F20" i="9"/>
  <c r="M17" i="9"/>
  <c r="O19" i="9"/>
  <c r="N22" i="9"/>
  <c r="G21" i="9"/>
  <c r="H17" i="9"/>
  <c r="K18" i="9"/>
  <c r="H21" i="9"/>
  <c r="K22" i="9"/>
  <c r="E18" i="9"/>
  <c r="D21" i="9"/>
  <c r="N17" i="9"/>
  <c r="M20" i="9"/>
  <c r="N21" i="9"/>
  <c r="M16" i="9"/>
  <c r="G22" i="9"/>
  <c r="I17" i="9"/>
  <c r="K19" i="9"/>
  <c r="I21" i="9"/>
  <c r="L22" i="9"/>
  <c r="E17" i="9"/>
  <c r="F18" i="9"/>
  <c r="D20" i="9"/>
  <c r="E21" i="9"/>
  <c r="F22" i="9"/>
  <c r="O17" i="9"/>
  <c r="M19" i="9"/>
  <c r="N20" i="9"/>
  <c r="O21" i="9"/>
  <c r="N16" i="9"/>
  <c r="G19" i="9"/>
  <c r="G16" i="9"/>
  <c r="K16" i="9"/>
  <c r="J17" i="9"/>
  <c r="I18" i="9"/>
  <c r="H19" i="9"/>
  <c r="L19" i="9"/>
  <c r="K20" i="9"/>
  <c r="J21" i="9"/>
  <c r="I22" i="9"/>
  <c r="D16" i="9"/>
  <c r="E19" i="9"/>
  <c r="D22" i="9"/>
  <c r="N18" i="9"/>
  <c r="M21" i="9"/>
  <c r="F16" i="9"/>
  <c r="G17" i="9"/>
  <c r="I16" i="9"/>
  <c r="L17" i="9"/>
  <c r="J19" i="9"/>
  <c r="I20" i="9"/>
  <c r="L21" i="9"/>
  <c r="D17" i="9"/>
  <c r="F19" i="9"/>
  <c r="E22" i="9"/>
  <c r="O18" i="9"/>
  <c r="O22" i="9"/>
  <c r="G18" i="9"/>
  <c r="J16" i="9"/>
  <c r="H18" i="9"/>
  <c r="L18" i="9"/>
  <c r="J20" i="9"/>
  <c r="H22" i="9"/>
  <c r="F17" i="9"/>
  <c r="D19" i="9"/>
  <c r="E20" i="9"/>
  <c r="F21" i="9"/>
  <c r="M18" i="9"/>
  <c r="N19" i="9"/>
  <c r="O20" i="9"/>
  <c r="M22" i="9"/>
  <c r="E16" i="9"/>
  <c r="O16" i="9"/>
  <c r="G20" i="9"/>
  <c r="H16" i="9"/>
  <c r="L16" i="9"/>
  <c r="K17" i="9"/>
  <c r="J18" i="9"/>
  <c r="I19" i="9"/>
  <c r="H20" i="9"/>
  <c r="L20" i="9"/>
  <c r="K21" i="9"/>
  <c r="R15" i="5"/>
  <c r="O15" i="5"/>
  <c r="R14" i="5"/>
  <c r="R13" i="5"/>
  <c r="R12" i="5"/>
  <c r="R11" i="5"/>
  <c r="R10" i="5"/>
  <c r="R9" i="5"/>
  <c r="R8" i="5"/>
  <c r="P15" i="5"/>
  <c r="C46" i="9"/>
  <c r="I11" i="11"/>
  <c r="G11" i="11"/>
  <c r="L51" i="7"/>
  <c r="K51" i="7"/>
  <c r="J51" i="7"/>
  <c r="L35" i="7"/>
  <c r="K35" i="7"/>
  <c r="J35" i="7"/>
  <c r="M23" i="9" l="1"/>
  <c r="G23" i="9"/>
  <c r="D23" i="9"/>
  <c r="N23" i="9"/>
  <c r="O23" i="9"/>
  <c r="E23" i="9"/>
  <c r="F23" i="9"/>
  <c r="L23" i="9"/>
  <c r="I23" i="9"/>
  <c r="J23" i="9"/>
  <c r="H23" i="9"/>
  <c r="K23" i="9"/>
  <c r="G11" i="8"/>
  <c r="G10" i="8"/>
  <c r="G9" i="8"/>
  <c r="G8" i="8"/>
  <c r="G7" i="8"/>
  <c r="G6" i="8"/>
  <c r="G5" i="8"/>
  <c r="F5" i="8"/>
  <c r="F11" i="8"/>
  <c r="F10" i="8"/>
  <c r="F9" i="8"/>
  <c r="F8" i="8"/>
  <c r="F7" i="8"/>
  <c r="F6" i="8"/>
  <c r="D83" i="10"/>
  <c r="C83" i="10"/>
  <c r="D82" i="10"/>
  <c r="C82" i="10"/>
  <c r="M46" i="9" l="1"/>
  <c r="E46" i="9"/>
  <c r="D46" i="9"/>
  <c r="N46" i="9"/>
  <c r="O46" i="9"/>
  <c r="F46" i="9"/>
  <c r="B12" i="7" l="1"/>
  <c r="B27" i="7"/>
  <c r="O14" i="5"/>
  <c r="P14" i="5" s="1"/>
  <c r="O13" i="5"/>
  <c r="P13" i="5" s="1"/>
  <c r="O12" i="5"/>
  <c r="P12" i="5" s="1"/>
  <c r="O11" i="5"/>
  <c r="P11" i="5" s="1"/>
  <c r="O10" i="5"/>
  <c r="P10" i="5" s="1"/>
  <c r="O9" i="5"/>
  <c r="P9" i="5" s="1"/>
  <c r="O8" i="5"/>
  <c r="P8" i="5" s="1"/>
  <c r="P46" i="7" l="1"/>
  <c r="P44" i="7"/>
  <c r="P42" i="7"/>
  <c r="P31" i="7"/>
  <c r="P29" i="7"/>
  <c r="P27" i="7"/>
  <c r="P25" i="7"/>
  <c r="P47" i="7"/>
  <c r="P45" i="7"/>
  <c r="P43" i="7"/>
  <c r="P41" i="7"/>
  <c r="P30" i="7"/>
  <c r="P28" i="7"/>
  <c r="P26" i="7"/>
  <c r="P15" i="7"/>
  <c r="P13" i="7"/>
  <c r="P12" i="7"/>
  <c r="P11" i="7"/>
  <c r="P9" i="7"/>
  <c r="L19" i="7"/>
  <c r="K19" i="7"/>
  <c r="J19" i="7"/>
  <c r="B14" i="7"/>
  <c r="B29" i="7"/>
  <c r="R10" i="7" s="1"/>
  <c r="B15" i="7" l="1"/>
  <c r="N45" i="7"/>
  <c r="N41" i="7"/>
  <c r="N29" i="7"/>
  <c r="N25" i="7"/>
  <c r="N28" i="7"/>
  <c r="N46" i="7"/>
  <c r="N42" i="7"/>
  <c r="N30" i="7"/>
  <c r="N26" i="7"/>
  <c r="N47" i="7"/>
  <c r="N43" i="7"/>
  <c r="N31" i="7"/>
  <c r="N27" i="7"/>
  <c r="N44" i="7"/>
  <c r="P35" i="7"/>
  <c r="P51" i="7"/>
  <c r="B28" i="7"/>
  <c r="Q10" i="7" s="1"/>
  <c r="R47" i="7"/>
  <c r="R45" i="7"/>
  <c r="R43" i="7"/>
  <c r="R41" i="7"/>
  <c r="R30" i="7"/>
  <c r="R28" i="7"/>
  <c r="R26" i="7"/>
  <c r="R46" i="7"/>
  <c r="R44" i="7"/>
  <c r="R42" i="7"/>
  <c r="R31" i="7"/>
  <c r="R29" i="7"/>
  <c r="R27" i="7"/>
  <c r="R25" i="7"/>
  <c r="Q14" i="7"/>
  <c r="R14" i="7"/>
  <c r="R9" i="7"/>
  <c r="R11" i="7"/>
  <c r="Q13" i="7"/>
  <c r="Q12" i="7"/>
  <c r="Q9" i="7"/>
  <c r="R13" i="7"/>
  <c r="R15" i="7"/>
  <c r="N11" i="7"/>
  <c r="N15" i="7"/>
  <c r="N12" i="7"/>
  <c r="O9" i="7"/>
  <c r="O13" i="7"/>
  <c r="N9" i="7"/>
  <c r="N13" i="7"/>
  <c r="O10" i="7"/>
  <c r="O14" i="7"/>
  <c r="N10" i="7"/>
  <c r="N14" i="7"/>
  <c r="O11" i="7"/>
  <c r="P10" i="7"/>
  <c r="Q11" i="7"/>
  <c r="R12" i="7"/>
  <c r="P14" i="7"/>
  <c r="B13" i="7"/>
  <c r="M44" i="7" l="1"/>
  <c r="M28" i="7"/>
  <c r="M47" i="7"/>
  <c r="M43" i="7"/>
  <c r="M45" i="7"/>
  <c r="M41" i="7"/>
  <c r="M29" i="7"/>
  <c r="M25" i="7"/>
  <c r="M46" i="7"/>
  <c r="M42" i="7"/>
  <c r="M30" i="7"/>
  <c r="M26" i="7"/>
  <c r="M31" i="7"/>
  <c r="M27" i="7"/>
  <c r="N51" i="7"/>
  <c r="N35" i="7"/>
  <c r="O15" i="7"/>
  <c r="O46" i="7"/>
  <c r="O42" i="7"/>
  <c r="O30" i="7"/>
  <c r="O26" i="7"/>
  <c r="O28" i="7"/>
  <c r="O45" i="7"/>
  <c r="O41" i="7"/>
  <c r="O29" i="7"/>
  <c r="O25" i="7"/>
  <c r="O47" i="7"/>
  <c r="O43" i="7"/>
  <c r="O31" i="7"/>
  <c r="O27" i="7"/>
  <c r="O44" i="7"/>
  <c r="O12" i="7"/>
  <c r="R51" i="7"/>
  <c r="Q15" i="7"/>
  <c r="Q19" i="7" s="1"/>
  <c r="Q45" i="7"/>
  <c r="Q43" i="7"/>
  <c r="Q41" i="7"/>
  <c r="Q30" i="7"/>
  <c r="Q28" i="7"/>
  <c r="Q26" i="7"/>
  <c r="Q47" i="7"/>
  <c r="Q46" i="7"/>
  <c r="Q44" i="7"/>
  <c r="Q42" i="7"/>
  <c r="Q31" i="7"/>
  <c r="Q29" i="7"/>
  <c r="Q27" i="7"/>
  <c r="Q25" i="7"/>
  <c r="Q35" i="7" s="1"/>
  <c r="B26" i="7"/>
  <c r="C29" i="9" s="1"/>
  <c r="P19" i="7"/>
  <c r="R35" i="7"/>
  <c r="R19" i="7"/>
  <c r="N19" i="7"/>
  <c r="M13" i="7"/>
  <c r="M9" i="7"/>
  <c r="M12" i="7"/>
  <c r="M15" i="7"/>
  <c r="M11" i="7"/>
  <c r="M14" i="7"/>
  <c r="M10" i="7"/>
  <c r="I45" i="9" l="1"/>
  <c r="I41" i="9"/>
  <c r="K44" i="9"/>
  <c r="K40" i="9"/>
  <c r="G44" i="9"/>
  <c r="G40" i="9"/>
  <c r="L42" i="9"/>
  <c r="J45" i="9"/>
  <c r="K42" i="9"/>
  <c r="H42" i="9"/>
  <c r="G42" i="9"/>
  <c r="J41" i="9"/>
  <c r="L41" i="9"/>
  <c r="G39" i="9"/>
  <c r="I44" i="9"/>
  <c r="H41" i="9"/>
  <c r="J42" i="9"/>
  <c r="K39" i="9"/>
  <c r="G45" i="9"/>
  <c r="H43" i="9"/>
  <c r="H40" i="9"/>
  <c r="I40" i="9"/>
  <c r="K45" i="9"/>
  <c r="H45" i="9"/>
  <c r="J44" i="9"/>
  <c r="L40" i="9"/>
  <c r="G41" i="9"/>
  <c r="J39" i="9"/>
  <c r="L39" i="9"/>
  <c r="H39" i="9"/>
  <c r="L43" i="9"/>
  <c r="I42" i="9"/>
  <c r="I39" i="9"/>
  <c r="K43" i="9"/>
  <c r="L45" i="9"/>
  <c r="J43" i="9"/>
  <c r="K41" i="9"/>
  <c r="J40" i="9"/>
  <c r="H44" i="9"/>
  <c r="L44" i="9"/>
  <c r="G43" i="9"/>
  <c r="I43" i="9"/>
  <c r="O19" i="7"/>
  <c r="M35" i="7"/>
  <c r="M51" i="7"/>
  <c r="O51" i="7"/>
  <c r="O35" i="7"/>
  <c r="Q51" i="7"/>
  <c r="M19" i="7"/>
  <c r="I46" i="9" l="1"/>
  <c r="H46" i="9"/>
  <c r="L46" i="9"/>
  <c r="G46" i="9"/>
  <c r="K46" i="9"/>
  <c r="J46" i="9"/>
</calcChain>
</file>

<file path=xl/sharedStrings.xml><?xml version="1.0" encoding="utf-8"?>
<sst xmlns="http://schemas.openxmlformats.org/spreadsheetml/2006/main" count="442" uniqueCount="283">
  <si>
    <t>Subbasin</t>
  </si>
  <si>
    <t>Ac-ft</t>
  </si>
  <si>
    <t>gpm</t>
  </si>
  <si>
    <t>cfs</t>
  </si>
  <si>
    <t>King</t>
  </si>
  <si>
    <t>Pierce</t>
  </si>
  <si>
    <t>Totals</t>
  </si>
  <si>
    <t>Projected No. PE Wells</t>
  </si>
  <si>
    <t>Average Irrigation Requirement</t>
  </si>
  <si>
    <t>Average Landscape Area/lot</t>
  </si>
  <si>
    <t>Irrigation Efficiency</t>
  </si>
  <si>
    <t>%, default is 75%</t>
  </si>
  <si>
    <t>%, default is 80%</t>
  </si>
  <si>
    <t>Indoor use</t>
  </si>
  <si>
    <t>gallons per day per capita, default is 60</t>
  </si>
  <si>
    <t>Outdoor consumptive Use %</t>
  </si>
  <si>
    <t>Indoor consumptive use %</t>
  </si>
  <si>
    <t>%, default is 10%</t>
  </si>
  <si>
    <t>Number people/household</t>
  </si>
  <si>
    <t>people - default is 2.5, can vary by county</t>
  </si>
  <si>
    <t>Total</t>
  </si>
  <si>
    <t>Carbon River</t>
  </si>
  <si>
    <t>Lower Puyallup River</t>
  </si>
  <si>
    <t>Lower White River</t>
  </si>
  <si>
    <t>Middle White River</t>
  </si>
  <si>
    <t>South Prairie Creek</t>
  </si>
  <si>
    <t>Upper Puyallup River</t>
  </si>
  <si>
    <t>Upper White River</t>
  </si>
  <si>
    <t>Annual CU Using Ecology Method</t>
  </si>
  <si>
    <t>Annual Consumptive Use Estimates for WRIA 10 - Preliminary</t>
  </si>
  <si>
    <t>Annual CU Using Water System Estimate</t>
  </si>
  <si>
    <t>Consumptive Use Method Using  Water System Data</t>
  </si>
  <si>
    <t>Indoor loss</t>
  </si>
  <si>
    <t>Outdoor loss</t>
  </si>
  <si>
    <t>People per household</t>
  </si>
  <si>
    <t>Total Consumptive Use</t>
  </si>
  <si>
    <t>gallons/day/new PE well</t>
  </si>
  <si>
    <t>acre-feet/year/new PE well</t>
  </si>
  <si>
    <t>annual average gpm/new PE well</t>
  </si>
  <si>
    <t>annual average cfs/new PE well</t>
  </si>
  <si>
    <t>default is 10%</t>
  </si>
  <si>
    <t>default is 80%</t>
  </si>
  <si>
    <t>varies by county, usually 2.5</t>
  </si>
  <si>
    <t>Average annual indoor use</t>
  </si>
  <si>
    <t>Average annual outdoor use</t>
  </si>
  <si>
    <t>acre-feet/new PE well</t>
  </si>
  <si>
    <t>Total consumptive use:</t>
  </si>
  <si>
    <t>WRIA 10 WIG Irrigation Requirements</t>
  </si>
  <si>
    <t>Data Source: Washington State Irrigation Guide - Appendix B (December 1992)</t>
  </si>
  <si>
    <t>Irrigation Requirement (Monthly)</t>
  </si>
  <si>
    <t>Weather Station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</si>
  <si>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</si>
  <si>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</si>
  <si>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</si>
  <si>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</si>
  <si>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</si>
  <si>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</si>
  <si>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</si>
  <si>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</si>
  <si>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</si>
  <si>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</si>
  <si>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</si>
  <si>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</si>
  <si>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Annual Requirement (in)</t>
  </si>
  <si>
    <t>Average Daily Requirement (in)</t>
  </si>
  <si>
    <t>Puyallup</t>
  </si>
  <si>
    <t>Bukcley</t>
  </si>
  <si>
    <t>Buckley</t>
  </si>
  <si>
    <t>Methods of Computing Consumptive Use</t>
  </si>
  <si>
    <t>Note: Highlighted areas are user-defined input to consumptive use calculations. Modify the input to see the sensitivity of the Annual Consumptive Use estimates to inputs of indoor and outdoor demand.</t>
  </si>
  <si>
    <t>Kitsap PUD (WRIA 15)</t>
  </si>
  <si>
    <t>Group A</t>
  </si>
  <si>
    <t>Group B</t>
  </si>
  <si>
    <t>Indoor (GPD/HH)</t>
  </si>
  <si>
    <t>Outdoor (GPD/HH)</t>
  </si>
  <si>
    <t>Average</t>
  </si>
  <si>
    <t>Note: HH = household, assume 2.5 people per household to estimate per capita use</t>
  </si>
  <si>
    <t>Indoor Use =</t>
  </si>
  <si>
    <t>66 gpd/capita</t>
  </si>
  <si>
    <t>Outdoor Use =</t>
  </si>
  <si>
    <t xml:space="preserve">  26 gpd/capita</t>
  </si>
  <si>
    <t>Input From CU Calculator Tab Using Water System Data (Do not change below numbers, change on CU Calc tab)</t>
  </si>
  <si>
    <t>Indoor Use</t>
  </si>
  <si>
    <t>gpd per capita (from CU Calc. tab)</t>
  </si>
  <si>
    <t>Outdoor Use</t>
  </si>
  <si>
    <t>gallons, annual total (from CU calc tab multiplied by 365 times household size)</t>
  </si>
  <si>
    <t>From CU Calc. tab, default is 10% (Ecology recommendation)</t>
  </si>
  <si>
    <t>From CU Calc. tab, default is 80% (Ecology recommendation)</t>
  </si>
  <si>
    <t>From CU Calc. tab, varies by county, usually 2.5</t>
  </si>
  <si>
    <t>Average Indoor CU</t>
  </si>
  <si>
    <t>Projected No. PE Wells (See PE Growth tab)</t>
  </si>
  <si>
    <t>Month (see WAIG tab for distribution of irrigation demands)</t>
  </si>
  <si>
    <t>March</t>
  </si>
  <si>
    <t>April</t>
  </si>
  <si>
    <t>June</t>
  </si>
  <si>
    <t>July</t>
  </si>
  <si>
    <t>Sept</t>
  </si>
  <si>
    <t>Name</t>
  </si>
  <si>
    <t>Notes</t>
  </si>
  <si>
    <t>Acres</t>
  </si>
  <si>
    <t>Acres_0.05 Min</t>
  </si>
  <si>
    <t>0119069017</t>
  </si>
  <si>
    <t>front yard delineated based on 7/15/2014</t>
  </si>
  <si>
    <t>0420069010</t>
  </si>
  <si>
    <t>Selected areas based on 7/2014 and 8/2011 imagery. Wetland/stream appears to be located on eastern and NW portion of parcel.</t>
  </si>
  <si>
    <t>0518171032</t>
  </si>
  <si>
    <t>Area delineated</t>
  </si>
  <si>
    <t>0518205002</t>
  </si>
  <si>
    <t>yard area delineated  8/2006 and 11/2007</t>
  </si>
  <si>
    <t>0519253007</t>
  </si>
  <si>
    <t>area delineated 8/2011 image</t>
  </si>
  <si>
    <t>0519285035</t>
  </si>
  <si>
    <t>area delineated 9/2009 and 8/2011 image</t>
  </si>
  <si>
    <t>0519312017</t>
  </si>
  <si>
    <t>area delineated. May be high ground water table but maintained lawn area does not go dormant in limited available imagery.</t>
  </si>
  <si>
    <t>0520036073</t>
  </si>
  <si>
    <t>area delineated</t>
  </si>
  <si>
    <t>0520069028</t>
  </si>
  <si>
    <t>Garden area delineated based on 9/2009 and 8/2011 imagery. Maitained areas around home not irrigated.</t>
  </si>
  <si>
    <t>0520069058</t>
  </si>
  <si>
    <t>Front yard delineated based on 9/2009 and 8/2011 imagery.</t>
  </si>
  <si>
    <t>0520153036</t>
  </si>
  <si>
    <t>0520156002</t>
  </si>
  <si>
    <t>Area Delineated</t>
  </si>
  <si>
    <t>0520237026</t>
  </si>
  <si>
    <t>0520254045</t>
  </si>
  <si>
    <t>area delineated.  Approximate due to tree coverage</t>
  </si>
  <si>
    <t>0520263039</t>
  </si>
  <si>
    <t>0520358008</t>
  </si>
  <si>
    <t>0619187001</t>
  </si>
  <si>
    <t>area delineated 8/2011 and 11/2011</t>
  </si>
  <si>
    <t>0619321013</t>
  </si>
  <si>
    <t>0620069079</t>
  </si>
  <si>
    <t>Front fenced area delineated (9/2009 8/2011 imagery). Remaining parcel dormant</t>
  </si>
  <si>
    <t>0720069035</t>
  </si>
  <si>
    <t>Delineated (8/2011, 9/2009, 8/2006)</t>
  </si>
  <si>
    <t>0720069062</t>
  </si>
  <si>
    <t>Delineated (8/2011, 11/2011, 9/2009)</t>
  </si>
  <si>
    <t>0820069056</t>
  </si>
  <si>
    <t>delineated yard area (8/2006 image)</t>
  </si>
  <si>
    <t>0821049204</t>
  </si>
  <si>
    <t>front and back yards delineated 8/2011 and 7/2012imagery</t>
  </si>
  <si>
    <t>1099611140</t>
  </si>
  <si>
    <t>Yard area delineated. 7/2018 image</t>
  </si>
  <si>
    <t>1720069152</t>
  </si>
  <si>
    <t>Yard delineated 7/2012 and 8/2011 imagery.</t>
  </si>
  <si>
    <t>1920069017</t>
  </si>
  <si>
    <t>Yard delineated</t>
  </si>
  <si>
    <t>2821059010</t>
  </si>
  <si>
    <t>area delineated 7/2018 imagery</t>
  </si>
  <si>
    <t>3021059343</t>
  </si>
  <si>
    <t>3221059044</t>
  </si>
  <si>
    <t>areas delineated 7/2018 imagery</t>
  </si>
  <si>
    <t>3353400170</t>
  </si>
  <si>
    <t>3420069029</t>
  </si>
  <si>
    <t>area delineated 9/2009 and 8/2011 imagery</t>
  </si>
  <si>
    <t>3421059048</t>
  </si>
  <si>
    <t>area delineated 7/2017 imagery</t>
  </si>
  <si>
    <t>3520069048</t>
  </si>
  <si>
    <t>area delineated.</t>
  </si>
  <si>
    <t>3521049013</t>
  </si>
  <si>
    <t>area delineated 7/2014 imagery. Area no longer looks maintained in 7/2018</t>
  </si>
  <si>
    <t>3750602435</t>
  </si>
  <si>
    <t>area delineated 7/2019 imagery</t>
  </si>
  <si>
    <t>8000330020</t>
  </si>
  <si>
    <t>0820069031</t>
  </si>
  <si>
    <t>0420069015</t>
  </si>
  <si>
    <t>zero irrigated area based on 9/2009</t>
  </si>
  <si>
    <t>0420069070</t>
  </si>
  <si>
    <t>zero irrigated area (8/2011 imagery). More recent imagery is from early July. No imagery available for August or September 2014-2016</t>
  </si>
  <si>
    <t>0619079021</t>
  </si>
  <si>
    <t>zero irrigated area (9/2009 and 11/2011 imagery). Storage in backyard.</t>
  </si>
  <si>
    <t>0620069031</t>
  </si>
  <si>
    <t>zero irrigated area (9/2009 imagery)</t>
  </si>
  <si>
    <t>0721049220</t>
  </si>
  <si>
    <t>zero irrigated footprint. 7/2018</t>
  </si>
  <si>
    <t>0920069063</t>
  </si>
  <si>
    <t>zero irrigated footprint. 8/2011. vegetation not maintained or irrigated.</t>
  </si>
  <si>
    <t>0920069113</t>
  </si>
  <si>
    <t>zero irrigated footprint. Vegetation not maintained. Several areas of storage/debris.</t>
  </si>
  <si>
    <t>1220059019</t>
  </si>
  <si>
    <t>zero irrigated footprint. Vegetation dorment during summer months.</t>
  </si>
  <si>
    <t>2121059042</t>
  </si>
  <si>
    <t>Zero irrigated footprint</t>
  </si>
  <si>
    <t>3021059121</t>
  </si>
  <si>
    <t>zero irrigated footprint 7/2018 imagery</t>
  </si>
  <si>
    <t>3120079143</t>
  </si>
  <si>
    <t>zero irrigated footprint</t>
  </si>
  <si>
    <t>3221049148</t>
  </si>
  <si>
    <t>3313600430</t>
  </si>
  <si>
    <t>3320079014</t>
  </si>
  <si>
    <t>zero irrigated footprint. 7/2018 and 7/2006, 9/2009 imagery</t>
  </si>
  <si>
    <t>3321049002</t>
  </si>
  <si>
    <t>zero irrigated footprint 7/2018</t>
  </si>
  <si>
    <t>3321059008</t>
  </si>
  <si>
    <t>zero irrigated footprint. 7/2018 and 9/2009</t>
  </si>
  <si>
    <t>3521059027</t>
  </si>
  <si>
    <t>zero irrigated area 9/2009</t>
  </si>
  <si>
    <t>3521059032</t>
  </si>
  <si>
    <t>zero irrigated footprint. 8/2011 and 11/2011</t>
  </si>
  <si>
    <t>7135800030</t>
  </si>
  <si>
    <t>zero irrigated area. Drainagage and high water table likely causing green areas. Mostly unmaintained</t>
  </si>
  <si>
    <t>0320133073</t>
  </si>
  <si>
    <t>zero irrigated footprint. 8/2011 and 7/2018</t>
  </si>
  <si>
    <t>0418134018</t>
  </si>
  <si>
    <t>0420174075</t>
  </si>
  <si>
    <t>0517061702</t>
  </si>
  <si>
    <t>zero irrigated footprint 7/2018 and 9/2009</t>
  </si>
  <si>
    <t>0518091049</t>
  </si>
  <si>
    <t>zero irrigated footprint 7/2018. Most of parcel unmaintained vegetation.</t>
  </si>
  <si>
    <t>0518106016</t>
  </si>
  <si>
    <t>0518305012</t>
  </si>
  <si>
    <t>0519081063</t>
  </si>
  <si>
    <t>0519094022</t>
  </si>
  <si>
    <t>0519134001</t>
  </si>
  <si>
    <t>zero irrigated footprint and no maintained vegetation</t>
  </si>
  <si>
    <t>0519241011</t>
  </si>
  <si>
    <t>0519244047</t>
  </si>
  <si>
    <t>0519252703</t>
  </si>
  <si>
    <t>zero irrigated footprint. Storage and debris in yard. Dormant vegetation in summer.</t>
  </si>
  <si>
    <t>0519345038</t>
  </si>
  <si>
    <t>0520328009</t>
  </si>
  <si>
    <t>0619205006</t>
  </si>
  <si>
    <t>0619305026</t>
  </si>
  <si>
    <t>0619311019</t>
  </si>
  <si>
    <t>0619321017</t>
  </si>
  <si>
    <t>0619323701</t>
  </si>
  <si>
    <t>zero irrigated footprint (9/2009 and 8/2011)</t>
  </si>
  <si>
    <t>0717062047</t>
  </si>
  <si>
    <t>zero irrigated footprint (9/2009 and 9/2011 image)</t>
  </si>
  <si>
    <t>4925000135</t>
  </si>
  <si>
    <t>0720069056</t>
  </si>
  <si>
    <t>Household Size</t>
  </si>
  <si>
    <t>Mason County - Harstene Island</t>
  </si>
  <si>
    <t>Mason County - Cherry Park</t>
  </si>
  <si>
    <t>Mason County - Union</t>
  </si>
  <si>
    <t>Water System Data Collected in WRIAs 10, 12, 14, 15</t>
  </si>
  <si>
    <t>USGS Groundwater Study - 10 years of data in Kitsap County</t>
  </si>
  <si>
    <t>USGS used  10% indoor and 90% outdoor consumptive use</t>
  </si>
  <si>
    <t>Indoor per capita (gpd) Annual Average</t>
  </si>
  <si>
    <t>Outdoor per capita (gpd) Annual Average</t>
  </si>
  <si>
    <t>Indoor (gpd/HH) Annual Average</t>
  </si>
  <si>
    <t>Outdoor (gpd/HH) Annual Average</t>
  </si>
  <si>
    <t>Kitsap PUD - see table below for split of Group A and B Systems</t>
  </si>
  <si>
    <t>Year</t>
  </si>
  <si>
    <t>Annual Consumptive Use Estimates for WRIA 10 With Lower Growth Projections - Preliminary</t>
  </si>
  <si>
    <t>Annual Consumptive Use Estimates for WRIA 10 With Higher Growth Projections - Preliminary</t>
  </si>
  <si>
    <t>Seasonal Distribution of Consumptive Use (cfs) Using Water System Data</t>
  </si>
  <si>
    <t>Seasonal Distribution of Consumptive Use (cfs) Using Ecology Method</t>
  </si>
  <si>
    <t>acres (see Irrigated Area tab)</t>
  </si>
  <si>
    <t>inches/year (see WAIG tab, used weighted average)</t>
  </si>
  <si>
    <t>weighted average</t>
  </si>
  <si>
    <t>Connections</t>
  </si>
  <si>
    <t>Thurston County Prairie Ridge 2007 - 2010</t>
  </si>
  <si>
    <t>Thurston County Prairie Ridge 2018</t>
  </si>
  <si>
    <t>Pierce County - Spanaway Water System</t>
  </si>
  <si>
    <t>Preliminary Projected 2038 
Total Wells Added Since 2018</t>
  </si>
  <si>
    <t>Based on Preliminary 1999-2008 Growth Rates</t>
  </si>
  <si>
    <t>Based on Preliminary 2009-2018 Growth Rates</t>
  </si>
  <si>
    <t>Based on Preliminary 1999-2018 Growth Rates</t>
  </si>
  <si>
    <t>WRIA 10--All Subbasins</t>
  </si>
  <si>
    <t>WRIA 10--Lower White River</t>
  </si>
  <si>
    <t>WRIA 10--Carbon River</t>
  </si>
  <si>
    <t>WRIA 10--South Prairie Creek</t>
  </si>
  <si>
    <t>WRIA 10--Upper Puyallup River</t>
  </si>
  <si>
    <t>WRIA 10--Upper White River</t>
  </si>
  <si>
    <t>WRIA 10--Middle White River</t>
  </si>
  <si>
    <t>WRIA 10--Lower Puyallup River</t>
  </si>
  <si>
    <t>Pierce County Portion</t>
  </si>
  <si>
    <t>Total Higher Estimate</t>
  </si>
  <si>
    <t>Total Lower Estimate</t>
  </si>
  <si>
    <t>Pierce County Higher Estimate 1999-2008</t>
  </si>
  <si>
    <t>Pierce County Lower Estimate 2009-2018</t>
  </si>
  <si>
    <t>Projected Total Connections - 20 years</t>
  </si>
  <si>
    <t>gallons/day/capita (from metered water system data, see tab)</t>
  </si>
  <si>
    <t>gallons/day/capita (from metered water system data, see water use tab for examples)</t>
  </si>
  <si>
    <t>From HDR Spreadsheet</t>
  </si>
  <si>
    <t>% of annual use for Puyallup Station</t>
  </si>
  <si>
    <t>Input From CU Calculator Tab Using  Data from Ecology Method (Do not change below numbers, change on CU Calc tab)</t>
  </si>
  <si>
    <t>Note - currently using 30 days/month during irrigation season, will adjust each month to correct # of days</t>
  </si>
  <si>
    <t>gallons/day/capita</t>
  </si>
  <si>
    <t>Annual CU Using Standard Method</t>
  </si>
  <si>
    <t>Consumptive Use Method Using Estimate of Landscape Area for new PE wells (Standard Method)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</si>
</sst>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_);[Red]\(#,##0\);&quot;--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9" fontId="0" fillId="3" borderId="3" xfId="0" applyNumberFormat="1" applyFill="1" applyBorder="1"/>
    <xf numFmtId="0" fontId="0" fillId="3" borderId="4" xfId="0" applyFill="1" applyBorder="1"/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5" borderId="5" xfId="0" applyFont="1" applyFill="1" applyBorder="1" applyAlignment="1">
      <alignment horizontal="centerContinuous" vertical="center"/>
    </xf>
    <xf numFmtId="0" fontId="4" fillId="5" borderId="6" xfId="0" applyFont="1" applyFill="1" applyBorder="1" applyAlignment="1">
      <alignment horizontal="centerContinuous"/>
    </xf>
    <xf numFmtId="0" fontId="4" fillId="5" borderId="7" xfId="0" applyFont="1" applyFill="1" applyBorder="1" applyAlignment="1">
      <alignment horizontal="centerContinuous"/>
    </xf>
    <xf numFmtId="0" fontId="5" fillId="6" borderId="0" xfId="0" applyFont="1" applyFill="1"/>
    <xf numFmtId="0" fontId="3" fillId="5" borderId="8" xfId="0" applyFont="1" applyFill="1" applyBorder="1" applyAlignment="1">
      <alignment horizontal="centerContinuous" vertical="center"/>
    </xf>
    <xf numFmtId="0" fontId="4" fillId="5" borderId="9" xfId="0" applyFont="1" applyFill="1" applyBorder="1" applyAlignment="1">
      <alignment horizontal="centerContinuous"/>
    </xf>
    <xf numFmtId="0" fontId="4" fillId="5" borderId="10" xfId="0" applyFont="1" applyFill="1" applyBorder="1" applyAlignment="1">
      <alignment horizontal="centerContinuous"/>
    </xf>
    <xf numFmtId="0" fontId="6" fillId="7" borderId="14" xfId="0" applyFont="1" applyFill="1" applyBorder="1"/>
    <xf numFmtId="0" fontId="6" fillId="7" borderId="15" xfId="0" applyFont="1" applyFill="1" applyBorder="1"/>
    <xf numFmtId="0" fontId="6" fillId="7" borderId="16" xfId="0" applyFont="1" applyFill="1" applyBorder="1"/>
    <xf numFmtId="0" fontId="6" fillId="7" borderId="17" xfId="0" applyFont="1" applyFill="1" applyBorder="1"/>
    <xf numFmtId="0" fontId="4" fillId="2" borderId="18" xfId="0" applyFont="1" applyFill="1" applyBorder="1" applyProtection="1">
      <protection locked="0"/>
    </xf>
    <xf numFmtId="2" fontId="5" fillId="8" borderId="18" xfId="0" applyNumberFormat="1" applyFont="1" applyFill="1" applyBorder="1"/>
    <xf numFmtId="0" fontId="5" fillId="9" borderId="1" xfId="0" applyFont="1" applyFill="1" applyBorder="1"/>
    <xf numFmtId="165" fontId="5" fillId="9" borderId="1" xfId="0" applyNumberFormat="1" applyFont="1" applyFill="1" applyBorder="1"/>
    <xf numFmtId="0" fontId="4" fillId="2" borderId="1" xfId="0" applyFont="1" applyFill="1" applyBorder="1" applyProtection="1">
      <protection locked="0"/>
    </xf>
    <xf numFmtId="2" fontId="5" fillId="9" borderId="1" xfId="0" applyNumberFormat="1" applyFont="1" applyFill="1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9" fontId="0" fillId="0" borderId="0" xfId="0" applyNumberFormat="1"/>
    <xf numFmtId="0" fontId="1" fillId="10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1" fontId="1" fillId="0" borderId="1" xfId="0" applyNumberFormat="1" applyFont="1" applyBorder="1"/>
    <xf numFmtId="2" fontId="1" fillId="0" borderId="1" xfId="0" applyNumberFormat="1" applyFont="1" applyBorder="1"/>
    <xf numFmtId="164" fontId="1" fillId="0" borderId="0" xfId="0" applyNumberFormat="1" applyFont="1"/>
    <xf numFmtId="49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/>
    </xf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 applyAlignment="1">
      <alignment wrapText="1"/>
    </xf>
    <xf numFmtId="165" fontId="8" fillId="0" borderId="0" xfId="0" applyNumberFormat="1" applyFont="1"/>
    <xf numFmtId="1" fontId="7" fillId="4" borderId="0" xfId="0" applyNumberFormat="1" applyFont="1" applyFill="1" applyAlignment="1">
      <alignment horizontal="right" wrapText="1"/>
    </xf>
    <xf numFmtId="165" fontId="8" fillId="4" borderId="0" xfId="0" applyNumberFormat="1" applyFont="1" applyFill="1"/>
    <xf numFmtId="2" fontId="8" fillId="0" borderId="0" xfId="0" applyNumberFormat="1" applyFont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11" borderId="21" xfId="0" applyFill="1" applyBorder="1" applyAlignment="1">
      <alignment wrapText="1"/>
    </xf>
    <xf numFmtId="0" fontId="0" fillId="11" borderId="18" xfId="0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4" fillId="2" borderId="22" xfId="0" applyFont="1" applyFill="1" applyBorder="1" applyProtection="1">
      <protection locked="0"/>
    </xf>
    <xf numFmtId="2" fontId="5" fillId="9" borderId="22" xfId="0" applyNumberFormat="1" applyFont="1" applyFill="1" applyBorder="1"/>
    <xf numFmtId="165" fontId="5" fillId="9" borderId="22" xfId="0" applyNumberFormat="1" applyFont="1" applyFill="1" applyBorder="1"/>
    <xf numFmtId="0" fontId="6" fillId="7" borderId="0" xfId="0" applyFont="1" applyFill="1" applyBorder="1"/>
    <xf numFmtId="0" fontId="9" fillId="12" borderId="24" xfId="0" applyFont="1" applyFill="1" applyBorder="1" applyAlignment="1">
      <alignment horizontal="centerContinuous" vertical="center" wrapText="1"/>
    </xf>
    <xf numFmtId="0" fontId="9" fillId="12" borderId="24" xfId="0" applyFont="1" applyFill="1" applyBorder="1" applyAlignment="1">
      <alignment horizontal="centerContinuous" vertical="center"/>
    </xf>
    <xf numFmtId="0" fontId="9" fillId="12" borderId="25" xfId="0" applyFont="1" applyFill="1" applyBorder="1" applyAlignment="1">
      <alignment horizontal="center" vertical="center" wrapText="1"/>
    </xf>
    <xf numFmtId="166" fontId="10" fillId="13" borderId="24" xfId="0" applyNumberFormat="1" applyFont="1" applyFill="1" applyBorder="1" applyAlignment="1">
      <alignment horizontal="center"/>
    </xf>
    <xf numFmtId="1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4" fillId="2" borderId="0" xfId="0" applyFont="1" applyFill="1" applyBorder="1" applyProtection="1">
      <protection locked="0"/>
    </xf>
    <xf numFmtId="9" fontId="0" fillId="4" borderId="0" xfId="0" applyNumberFormat="1" applyFill="1"/>
    <xf numFmtId="2" fontId="0" fillId="4" borderId="0" xfId="0" applyNumberFormat="1" applyFill="1"/>
    <xf numFmtId="0" fontId="0" fillId="0" borderId="22" xfId="0" applyFill="1" applyBorder="1" applyAlignment="1">
      <alignment wrapText="1"/>
    </xf>
    <xf numFmtId="164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14" borderId="0" xfId="0" applyFill="1"/>
    <xf numFmtId="0" fontId="0" fillId="14" borderId="2" xfId="0" applyFill="1" applyBorder="1"/>
    <xf numFmtId="0" fontId="0" fillId="14" borderId="3" xfId="0" applyFill="1" applyBorder="1"/>
    <xf numFmtId="9" fontId="0" fillId="14" borderId="3" xfId="0" applyNumberFormat="1" applyFill="1" applyBorder="1"/>
    <xf numFmtId="0" fontId="0" fillId="14" borderId="4" xfId="0" applyFill="1" applyBorder="1"/>
    <xf numFmtId="0" fontId="0" fillId="14" borderId="0" xfId="0" applyFill="1" applyBorder="1"/>
    <xf numFmtId="164" fontId="7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10" borderId="21" xfId="0" applyFont="1" applyFill="1" applyBorder="1" applyAlignment="1">
      <alignment wrapText="1"/>
    </xf>
    <xf numFmtId="0" fontId="0" fillId="10" borderId="18" xfId="0" applyFill="1" applyBorder="1" applyAlignment="1">
      <alignment wrapText="1"/>
    </xf>
    <xf numFmtId="0" fontId="1" fillId="1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0" fillId="11" borderId="19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0" xfId="0" applyBorder="1" applyAlignment="1">
      <alignment wrapText="1"/>
    </xf>
    <xf numFmtId="0" fontId="0" fillId="11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1"/>
  <sheetViews>
    <sheetView tabSelected="1" workbookViewId="0">
      <selection activeCell="I20" sqref="I20"/>
    </sheetView>
  </sheetViews>
  <sheetFormatPr defaultRowHeight="15" x14ac:dyDescent="0.25"/>
  <cols>
    <col min="1" max="1" width="32.5703125" customWidth="1"/>
    <col min="7" max="7" width="4.7109375" customWidth="1"/>
    <col min="8" max="8" width="31.85546875" hidden="1" customWidth="1"/>
    <col min="9" max="9" width="23.5703125" customWidth="1"/>
    <col min="13" max="13" width="13.42578125" customWidth="1"/>
    <col min="14" max="14" width="12.140625" customWidth="1"/>
    <col min="15" max="15" width="12.5703125" customWidth="1"/>
    <col min="16" max="16" width="14.5703125" customWidth="1"/>
    <col min="17" max="17" width="10.7109375" customWidth="1"/>
    <col min="18" max="18" width="12" customWidth="1"/>
  </cols>
  <sheetData>
    <row r="3" spans="1:18" x14ac:dyDescent="0.25">
      <c r="A3" s="3" t="s">
        <v>68</v>
      </c>
    </row>
    <row r="5" spans="1:18" ht="15" customHeight="1" x14ac:dyDescent="0.25">
      <c r="A5" s="3" t="s">
        <v>31</v>
      </c>
      <c r="I5" s="93" t="s">
        <v>29</v>
      </c>
      <c r="J5" s="93"/>
      <c r="K5" s="93"/>
      <c r="L5" s="93"/>
      <c r="M5" s="93"/>
      <c r="N5" s="93"/>
      <c r="O5" s="93"/>
      <c r="P5" s="93"/>
      <c r="Q5" s="93"/>
      <c r="R5" s="93"/>
    </row>
    <row r="6" spans="1:18" ht="15.75" thickBot="1" x14ac:dyDescent="0.3">
      <c r="A6" s="83"/>
      <c r="B6" s="83"/>
      <c r="C6" s="83"/>
      <c r="D6" s="83"/>
      <c r="E6" s="83"/>
    </row>
    <row r="7" spans="1:18" ht="15" customHeight="1" x14ac:dyDescent="0.25">
      <c r="A7" s="83" t="s">
        <v>43</v>
      </c>
      <c r="B7" s="84">
        <v>53</v>
      </c>
      <c r="C7" s="83" t="s">
        <v>275</v>
      </c>
      <c r="D7" s="83"/>
      <c r="E7" s="83"/>
      <c r="I7" s="94" t="s">
        <v>0</v>
      </c>
      <c r="J7" s="94" t="s">
        <v>7</v>
      </c>
      <c r="K7" s="95"/>
      <c r="L7" s="95"/>
      <c r="M7" s="96" t="s">
        <v>30</v>
      </c>
      <c r="N7" s="96"/>
      <c r="O7" s="96"/>
      <c r="P7" s="96" t="s">
        <v>281</v>
      </c>
      <c r="Q7" s="96"/>
      <c r="R7" s="96"/>
    </row>
    <row r="8" spans="1:18" x14ac:dyDescent="0.25">
      <c r="A8" s="83" t="s">
        <v>44</v>
      </c>
      <c r="B8" s="85">
        <v>32</v>
      </c>
      <c r="C8" s="83" t="s">
        <v>274</v>
      </c>
      <c r="D8" s="83"/>
      <c r="E8" s="83"/>
      <c r="I8" s="94"/>
      <c r="J8" s="2" t="s">
        <v>4</v>
      </c>
      <c r="K8" s="2" t="s">
        <v>5</v>
      </c>
      <c r="L8" s="2" t="s">
        <v>20</v>
      </c>
      <c r="M8" s="1" t="s">
        <v>1</v>
      </c>
      <c r="N8" s="1" t="s">
        <v>2</v>
      </c>
      <c r="O8" s="1" t="s">
        <v>3</v>
      </c>
      <c r="P8" s="1" t="s">
        <v>1</v>
      </c>
      <c r="Q8" s="1" t="s">
        <v>2</v>
      </c>
      <c r="R8" s="1" t="s">
        <v>3</v>
      </c>
    </row>
    <row r="9" spans="1:18" ht="15" customHeight="1" x14ac:dyDescent="0.25">
      <c r="A9" s="83" t="s">
        <v>32</v>
      </c>
      <c r="B9" s="86">
        <v>0.1</v>
      </c>
      <c r="C9" s="83" t="s">
        <v>40</v>
      </c>
      <c r="D9" s="83"/>
      <c r="E9" s="83"/>
      <c r="I9" s="2" t="s">
        <v>21</v>
      </c>
      <c r="J9" s="9">
        <f>'PE Growth'!D4</f>
        <v>0</v>
      </c>
      <c r="K9" s="9">
        <f>'PE Growth'!F4</f>
        <v>109</v>
      </c>
      <c r="L9" s="9">
        <f>J9+K9</f>
        <v>109</v>
      </c>
      <c r="M9" s="10">
        <f>L9*$B$13</f>
        <v>9.43253404855556</v>
      </c>
      <c r="N9" s="10">
        <f>L9*$B$14</f>
        <v>5.8473958333333336</v>
      </c>
      <c r="O9" s="11">
        <f>L9*$B$15</f>
        <v>1.3052222842261905E-2</v>
      </c>
      <c r="P9" s="10">
        <f>L9*B$27</f>
        <v>43.944275849403134</v>
      </c>
      <c r="Q9" s="10">
        <f>L9*B$28</f>
        <v>27.240951405192476</v>
      </c>
      <c r="R9" s="11">
        <f>L9*B$29</f>
        <v>6.0805695100876057E-2</v>
      </c>
    </row>
    <row r="10" spans="1:18" x14ac:dyDescent="0.25">
      <c r="A10" s="83" t="s">
        <v>33</v>
      </c>
      <c r="B10" s="86">
        <v>0.8</v>
      </c>
      <c r="C10" s="83" t="s">
        <v>41</v>
      </c>
      <c r="D10" s="83"/>
      <c r="E10" s="83"/>
      <c r="I10" s="2" t="s">
        <v>22</v>
      </c>
      <c r="J10" s="9">
        <f>'PE Growth'!D5</f>
        <v>0</v>
      </c>
      <c r="K10" s="9">
        <f>'PE Growth'!F5</f>
        <v>102</v>
      </c>
      <c r="L10" s="9">
        <f t="shared" ref="L10:L15" si="0">J10+K10</f>
        <v>102</v>
      </c>
      <c r="M10" s="10">
        <f t="shared" ref="M10:M15" si="1">L10*$B$13</f>
        <v>8.8267749812171292</v>
      </c>
      <c r="N10" s="10">
        <f t="shared" ref="N10:N15" si="2">L10*$B$14</f>
        <v>5.4718750000000007</v>
      </c>
      <c r="O10" s="11">
        <f t="shared" ref="O10:O15" si="3">L10*$B$15</f>
        <v>1.2214006696428572E-2</v>
      </c>
      <c r="P10" s="10">
        <f t="shared" ref="P10:P15" si="4">L10*B$27</f>
        <v>41.122166391184585</v>
      </c>
      <c r="Q10" s="10">
        <f t="shared" ref="Q10:Q15" si="5">L10*B$28</f>
        <v>25.491532507611307</v>
      </c>
      <c r="R10" s="11">
        <f t="shared" ref="R10:R15" si="6">L10*B$29</f>
        <v>5.6900742204489527E-2</v>
      </c>
    </row>
    <row r="11" spans="1:18" ht="15.75" thickBot="1" x14ac:dyDescent="0.3">
      <c r="A11" s="83" t="s">
        <v>34</v>
      </c>
      <c r="B11" s="87">
        <v>2.5</v>
      </c>
      <c r="C11" s="83" t="s">
        <v>42</v>
      </c>
      <c r="D11" s="83"/>
      <c r="E11" s="83"/>
      <c r="I11" s="2" t="s">
        <v>23</v>
      </c>
      <c r="J11" s="9">
        <f>'PE Growth'!D6</f>
        <v>0</v>
      </c>
      <c r="K11" s="9">
        <f>'PE Growth'!F6</f>
        <v>52</v>
      </c>
      <c r="L11" s="9">
        <f t="shared" si="0"/>
        <v>52</v>
      </c>
      <c r="M11" s="10">
        <f t="shared" si="1"/>
        <v>4.4999245002283406</v>
      </c>
      <c r="N11" s="10">
        <f t="shared" si="2"/>
        <v>2.7895833333333337</v>
      </c>
      <c r="O11" s="11">
        <f t="shared" si="3"/>
        <v>6.2267485119047623E-3</v>
      </c>
      <c r="P11" s="10">
        <f t="shared" si="4"/>
        <v>20.964241689623513</v>
      </c>
      <c r="Q11" s="10">
        <f t="shared" si="5"/>
        <v>12.995683239174392</v>
      </c>
      <c r="R11" s="11">
        <f t="shared" si="6"/>
        <v>2.9008221516014267E-2</v>
      </c>
    </row>
    <row r="12" spans="1:18" x14ac:dyDescent="0.25">
      <c r="A12" s="83" t="s">
        <v>35</v>
      </c>
      <c r="B12" s="88">
        <f>((B7*B9)+(B8*B10))*B11</f>
        <v>77.25</v>
      </c>
      <c r="C12" s="83" t="s">
        <v>36</v>
      </c>
      <c r="D12" s="83"/>
      <c r="E12" s="83"/>
      <c r="I12" s="2" t="s">
        <v>24</v>
      </c>
      <c r="J12" s="9">
        <f>'PE Growth'!D7</f>
        <v>81</v>
      </c>
      <c r="K12" s="9">
        <f>'PE Growth'!F7</f>
        <v>0</v>
      </c>
      <c r="L12" s="9">
        <f t="shared" si="0"/>
        <v>81</v>
      </c>
      <c r="M12" s="10">
        <f t="shared" si="1"/>
        <v>7.0094977792018387</v>
      </c>
      <c r="N12" s="10">
        <f t="shared" si="2"/>
        <v>4.3453125000000004</v>
      </c>
      <c r="O12" s="11">
        <f t="shared" si="3"/>
        <v>9.6993582589285712E-3</v>
      </c>
      <c r="P12" s="10">
        <f t="shared" si="4"/>
        <v>32.655838016528932</v>
      </c>
      <c r="Q12" s="10">
        <f t="shared" si="5"/>
        <v>20.2432758148678</v>
      </c>
      <c r="R12" s="11">
        <f t="shared" si="6"/>
        <v>4.5185883515329914E-2</v>
      </c>
    </row>
    <row r="13" spans="1:18" x14ac:dyDescent="0.25">
      <c r="A13" s="83"/>
      <c r="B13" s="88">
        <f>B12*365/7.48/43560</f>
        <v>8.6537009619775784E-2</v>
      </c>
      <c r="C13" s="83" t="s">
        <v>37</v>
      </c>
      <c r="D13" s="83"/>
      <c r="E13" s="83"/>
      <c r="I13" s="2" t="s">
        <v>25</v>
      </c>
      <c r="J13" s="9">
        <f>'PE Growth'!D8</f>
        <v>0</v>
      </c>
      <c r="K13" s="9">
        <f>'PE Growth'!F8</f>
        <v>167</v>
      </c>
      <c r="L13" s="9">
        <f t="shared" si="0"/>
        <v>167</v>
      </c>
      <c r="M13" s="10">
        <f t="shared" si="1"/>
        <v>14.451680606502556</v>
      </c>
      <c r="N13" s="10">
        <f t="shared" si="2"/>
        <v>8.9588541666666668</v>
      </c>
      <c r="O13" s="11">
        <f t="shared" si="3"/>
        <v>1.9997442336309526E-2</v>
      </c>
      <c r="P13" s="10">
        <f t="shared" si="4"/>
        <v>67.327468503213979</v>
      </c>
      <c r="Q13" s="10">
        <f t="shared" si="5"/>
        <v>41.736136556579297</v>
      </c>
      <c r="R13" s="11">
        <f t="shared" si="6"/>
        <v>9.3161019099507358E-2</v>
      </c>
    </row>
    <row r="14" spans="1:18" x14ac:dyDescent="0.25">
      <c r="A14" s="83"/>
      <c r="B14" s="88">
        <f>B12/60/24</f>
        <v>5.3645833333333337E-2</v>
      </c>
      <c r="C14" s="83" t="s">
        <v>38</v>
      </c>
      <c r="D14" s="83"/>
      <c r="E14" s="83"/>
      <c r="I14" s="2" t="s">
        <v>26</v>
      </c>
      <c r="J14" s="9">
        <f>'PE Growth'!D9</f>
        <v>0</v>
      </c>
      <c r="K14" s="9">
        <f>'PE Growth'!F9</f>
        <v>165</v>
      </c>
      <c r="L14" s="9">
        <f t="shared" si="0"/>
        <v>165</v>
      </c>
      <c r="M14" s="10">
        <f t="shared" si="1"/>
        <v>14.278606587263004</v>
      </c>
      <c r="N14" s="10">
        <f t="shared" si="2"/>
        <v>8.8515625</v>
      </c>
      <c r="O14" s="11">
        <f t="shared" si="3"/>
        <v>1.9757952008928572E-2</v>
      </c>
      <c r="P14" s="10">
        <f t="shared" si="4"/>
        <v>66.52115151515153</v>
      </c>
      <c r="Q14" s="10">
        <f t="shared" si="5"/>
        <v>41.23630258584182</v>
      </c>
      <c r="R14" s="11">
        <f t="shared" si="6"/>
        <v>9.2045318271968352E-2</v>
      </c>
    </row>
    <row r="15" spans="1:18" x14ac:dyDescent="0.25">
      <c r="A15" s="83"/>
      <c r="B15" s="83">
        <f>B14/448</f>
        <v>1.197451636904762E-4</v>
      </c>
      <c r="C15" s="83" t="s">
        <v>39</v>
      </c>
      <c r="D15" s="83"/>
      <c r="E15" s="83"/>
      <c r="I15" s="2" t="s">
        <v>27</v>
      </c>
      <c r="J15" s="9">
        <f>'PE Growth'!D10</f>
        <v>0</v>
      </c>
      <c r="K15" s="9">
        <f>'PE Growth'!F10</f>
        <v>12</v>
      </c>
      <c r="L15" s="9">
        <f t="shared" si="0"/>
        <v>12</v>
      </c>
      <c r="M15" s="10">
        <f t="shared" si="1"/>
        <v>1.0384441154373094</v>
      </c>
      <c r="N15" s="10">
        <f t="shared" si="2"/>
        <v>0.64375000000000004</v>
      </c>
      <c r="O15" s="11">
        <f t="shared" si="3"/>
        <v>1.4369419642857144E-3</v>
      </c>
      <c r="P15" s="10">
        <f t="shared" si="4"/>
        <v>4.8379019283746567</v>
      </c>
      <c r="Q15" s="10">
        <f t="shared" si="5"/>
        <v>2.9990038244248596</v>
      </c>
      <c r="R15" s="11">
        <f t="shared" si="6"/>
        <v>6.6942049652340616E-3</v>
      </c>
    </row>
    <row r="16" spans="1:18" x14ac:dyDescent="0.25">
      <c r="I16" s="2"/>
      <c r="J16" s="9"/>
      <c r="K16" s="9"/>
      <c r="L16" s="12"/>
      <c r="M16" s="10"/>
      <c r="N16" s="10"/>
      <c r="O16" s="11"/>
      <c r="P16" s="10"/>
      <c r="Q16" s="10"/>
      <c r="R16" s="11"/>
    </row>
    <row r="17" spans="1:18" x14ac:dyDescent="0.25">
      <c r="A17" s="3" t="s">
        <v>282</v>
      </c>
      <c r="I17" s="2"/>
      <c r="J17" s="9"/>
      <c r="K17" s="9"/>
      <c r="L17" s="12"/>
      <c r="M17" s="10"/>
      <c r="N17" s="10"/>
      <c r="O17" s="11"/>
      <c r="P17" s="10"/>
      <c r="Q17" s="10"/>
      <c r="R17" s="11"/>
    </row>
    <row r="18" spans="1:18" ht="15.75" thickBot="1" x14ac:dyDescent="0.3">
      <c r="I18" s="2"/>
      <c r="J18" s="9"/>
      <c r="K18" s="9"/>
      <c r="L18" s="9"/>
      <c r="M18" s="10"/>
      <c r="N18" s="10"/>
      <c r="O18" s="11"/>
      <c r="P18" s="9"/>
      <c r="Q18" s="9"/>
      <c r="R18" s="9"/>
    </row>
    <row r="19" spans="1:18" x14ac:dyDescent="0.25">
      <c r="A19" t="s">
        <v>8</v>
      </c>
      <c r="B19" s="4">
        <v>16.100000000000001</v>
      </c>
      <c r="C19" t="s">
        <v>250</v>
      </c>
      <c r="I19" s="2" t="s">
        <v>6</v>
      </c>
      <c r="J19" s="13">
        <f t="shared" ref="J19:K19" si="7">SUM(J9:J18)</f>
        <v>81</v>
      </c>
      <c r="K19" s="13">
        <f t="shared" si="7"/>
        <v>607</v>
      </c>
      <c r="L19" s="13">
        <f>SUM(L9:L18)</f>
        <v>688</v>
      </c>
      <c r="M19" s="89">
        <f t="shared" ref="M19:R19" si="8">SUM(M9:M18)</f>
        <v>59.537462618405733</v>
      </c>
      <c r="N19" s="14">
        <f t="shared" si="8"/>
        <v>36.908333333333331</v>
      </c>
      <c r="O19" s="82">
        <f t="shared" si="8"/>
        <v>8.2384672619047625E-2</v>
      </c>
      <c r="P19" s="81">
        <f t="shared" si="8"/>
        <v>277.37304389348037</v>
      </c>
      <c r="Q19" s="14">
        <f t="shared" si="8"/>
        <v>171.94288593369194</v>
      </c>
      <c r="R19" s="82">
        <f t="shared" si="8"/>
        <v>0.3838010846734195</v>
      </c>
    </row>
    <row r="20" spans="1:18" x14ac:dyDescent="0.25">
      <c r="A20" t="s">
        <v>9</v>
      </c>
      <c r="B20" s="5">
        <v>0.27</v>
      </c>
      <c r="C20" t="s">
        <v>249</v>
      </c>
    </row>
    <row r="21" spans="1:18" ht="15" customHeight="1" x14ac:dyDescent="0.25">
      <c r="A21" t="s">
        <v>10</v>
      </c>
      <c r="B21" s="6">
        <v>0.75</v>
      </c>
      <c r="C21" t="s">
        <v>11</v>
      </c>
      <c r="I21" s="93" t="s">
        <v>245</v>
      </c>
      <c r="J21" s="93"/>
      <c r="K21" s="93"/>
      <c r="L21" s="93"/>
      <c r="M21" s="93"/>
      <c r="N21" s="93"/>
      <c r="O21" s="93"/>
      <c r="P21" s="93"/>
      <c r="Q21" s="93"/>
      <c r="R21" s="93"/>
    </row>
    <row r="22" spans="1:18" x14ac:dyDescent="0.25">
      <c r="A22" t="s">
        <v>15</v>
      </c>
      <c r="B22" s="6">
        <v>0.8</v>
      </c>
      <c r="C22" t="s">
        <v>12</v>
      </c>
    </row>
    <row r="23" spans="1:18" ht="15" customHeight="1" x14ac:dyDescent="0.25">
      <c r="A23" t="s">
        <v>13</v>
      </c>
      <c r="B23" s="5">
        <v>60</v>
      </c>
      <c r="C23" t="s">
        <v>14</v>
      </c>
      <c r="I23" s="94" t="s">
        <v>0</v>
      </c>
      <c r="J23" s="94" t="s">
        <v>7</v>
      </c>
      <c r="K23" s="95"/>
      <c r="L23" s="95"/>
      <c r="M23" s="96" t="s">
        <v>30</v>
      </c>
      <c r="N23" s="96"/>
      <c r="O23" s="96"/>
      <c r="P23" s="96" t="s">
        <v>281</v>
      </c>
      <c r="Q23" s="96"/>
      <c r="R23" s="96"/>
    </row>
    <row r="24" spans="1:18" x14ac:dyDescent="0.25">
      <c r="A24" t="s">
        <v>16</v>
      </c>
      <c r="B24" s="6">
        <v>0.1</v>
      </c>
      <c r="C24" t="s">
        <v>17</v>
      </c>
      <c r="I24" s="94"/>
      <c r="J24" s="2" t="s">
        <v>4</v>
      </c>
      <c r="K24" s="2" t="s">
        <v>5</v>
      </c>
      <c r="L24" s="2" t="s">
        <v>20</v>
      </c>
      <c r="M24" s="1" t="s">
        <v>1</v>
      </c>
      <c r="N24" s="1" t="s">
        <v>2</v>
      </c>
      <c r="O24" s="1" t="s">
        <v>3</v>
      </c>
      <c r="P24" s="1" t="s">
        <v>1</v>
      </c>
      <c r="Q24" s="1" t="s">
        <v>2</v>
      </c>
      <c r="R24" s="1" t="s">
        <v>3</v>
      </c>
    </row>
    <row r="25" spans="1:18" ht="15.75" thickBot="1" x14ac:dyDescent="0.3">
      <c r="A25" t="s">
        <v>18</v>
      </c>
      <c r="B25" s="7">
        <v>2.5</v>
      </c>
      <c r="C25" t="s">
        <v>19</v>
      </c>
      <c r="I25" s="2" t="s">
        <v>21</v>
      </c>
      <c r="J25" s="9">
        <f>'PE Growth'!D4</f>
        <v>0</v>
      </c>
      <c r="K25" s="76">
        <f>'PE Growth'!I4</f>
        <v>87</v>
      </c>
      <c r="L25" s="9">
        <f t="shared" ref="L25:L30" si="9">J25+K25</f>
        <v>87</v>
      </c>
      <c r="M25" s="10">
        <f>L25*$B$13</f>
        <v>7.5287198369204935</v>
      </c>
      <c r="N25" s="10">
        <f>L25*$B$14</f>
        <v>4.6671875000000007</v>
      </c>
      <c r="O25" s="11">
        <f>L25*$B$15</f>
        <v>1.041782924107143E-2</v>
      </c>
      <c r="P25" s="10">
        <f>L25*B$27</f>
        <v>35.074788980716264</v>
      </c>
      <c r="Q25" s="10">
        <f>L25*B$28</f>
        <v>21.742777727080231</v>
      </c>
      <c r="R25" s="11">
        <f>L25*B$29</f>
        <v>4.8532985997946948E-2</v>
      </c>
    </row>
    <row r="26" spans="1:18" x14ac:dyDescent="0.25">
      <c r="A26" t="s">
        <v>46</v>
      </c>
      <c r="B26" s="8">
        <f>B28*60*24</f>
        <v>359.88045893098314</v>
      </c>
      <c r="C26" t="s">
        <v>36</v>
      </c>
      <c r="I26" s="2" t="s">
        <v>22</v>
      </c>
      <c r="J26" s="9">
        <f>'PE Growth'!D5</f>
        <v>0</v>
      </c>
      <c r="K26" s="76">
        <f>'PE Growth'!I5</f>
        <v>53</v>
      </c>
      <c r="L26" s="9">
        <f t="shared" si="9"/>
        <v>53</v>
      </c>
      <c r="M26" s="10">
        <f t="shared" ref="M26:M31" si="10">L26*$B$13</f>
        <v>4.5864615098481165</v>
      </c>
      <c r="N26" s="10">
        <f t="shared" ref="N26:N31" si="11">L26*$B$14</f>
        <v>2.8432291666666667</v>
      </c>
      <c r="O26" s="11">
        <f t="shared" ref="O26:O31" si="12">L26*$B$15</f>
        <v>6.3464936755952385E-3</v>
      </c>
      <c r="P26" s="10">
        <f t="shared" ref="P26:P31" si="13">L26*B$27</f>
        <v>21.367400183654734</v>
      </c>
      <c r="Q26" s="10">
        <f t="shared" ref="Q26:Q31" si="14">L26*B$28</f>
        <v>13.24560022454313</v>
      </c>
      <c r="R26" s="11">
        <f t="shared" ref="R26:R31" si="15">L26*B$29</f>
        <v>2.956607192978377E-2</v>
      </c>
    </row>
    <row r="27" spans="1:18" x14ac:dyDescent="0.25">
      <c r="B27">
        <f>(B25*B24*B23*365/(7.5*43560))+((B20*B19/(12*B21))*B22)</f>
        <v>0.40315849403122139</v>
      </c>
      <c r="C27" t="s">
        <v>45</v>
      </c>
      <c r="I27" s="2" t="s">
        <v>23</v>
      </c>
      <c r="J27" s="9">
        <f>'PE Growth'!D6</f>
        <v>0</v>
      </c>
      <c r="K27" s="76">
        <f>'PE Growth'!I6</f>
        <v>42</v>
      </c>
      <c r="L27" s="9">
        <f t="shared" si="9"/>
        <v>42</v>
      </c>
      <c r="M27" s="10">
        <f t="shared" si="10"/>
        <v>3.6345544040305828</v>
      </c>
      <c r="N27" s="10">
        <f t="shared" si="11"/>
        <v>2.2531250000000003</v>
      </c>
      <c r="O27" s="11">
        <f t="shared" si="12"/>
        <v>5.0292968750000003E-3</v>
      </c>
      <c r="P27" s="10">
        <f t="shared" si="13"/>
        <v>16.932656749311299</v>
      </c>
      <c r="Q27" s="10">
        <f t="shared" si="14"/>
        <v>10.496513385487008</v>
      </c>
      <c r="R27" s="11">
        <f t="shared" si="15"/>
        <v>2.3429717378319215E-2</v>
      </c>
    </row>
    <row r="28" spans="1:18" x14ac:dyDescent="0.25">
      <c r="B28">
        <f>B29*448</f>
        <v>0.2499169853687383</v>
      </c>
      <c r="C28" t="s">
        <v>38</v>
      </c>
      <c r="I28" s="2" t="s">
        <v>24</v>
      </c>
      <c r="J28" s="9">
        <f>'PE Growth'!D7</f>
        <v>81</v>
      </c>
      <c r="K28" s="76">
        <f>'PE Growth'!I7</f>
        <v>0</v>
      </c>
      <c r="L28" s="9">
        <f t="shared" si="9"/>
        <v>81</v>
      </c>
      <c r="M28" s="10">
        <f t="shared" si="10"/>
        <v>7.0094977792018387</v>
      </c>
      <c r="N28" s="10">
        <f t="shared" si="11"/>
        <v>4.3453125000000004</v>
      </c>
      <c r="O28" s="11">
        <f t="shared" si="12"/>
        <v>9.6993582589285712E-3</v>
      </c>
      <c r="P28" s="10">
        <f t="shared" si="13"/>
        <v>32.655838016528932</v>
      </c>
      <c r="Q28" s="10">
        <f t="shared" si="14"/>
        <v>20.2432758148678</v>
      </c>
      <c r="R28" s="11">
        <f t="shared" si="15"/>
        <v>4.5185883515329914E-2</v>
      </c>
    </row>
    <row r="29" spans="1:18" x14ac:dyDescent="0.25">
      <c r="B29">
        <f>B27/365/1.98</f>
        <v>5.5785041376950513E-4</v>
      </c>
      <c r="C29" t="s">
        <v>39</v>
      </c>
      <c r="I29" s="2" t="s">
        <v>25</v>
      </c>
      <c r="J29" s="9">
        <f>'PE Growth'!D8</f>
        <v>0</v>
      </c>
      <c r="K29" s="76">
        <f>'PE Growth'!I8</f>
        <v>122</v>
      </c>
      <c r="L29" s="9">
        <f t="shared" si="9"/>
        <v>122</v>
      </c>
      <c r="M29" s="10">
        <f t="shared" si="10"/>
        <v>10.557515173612646</v>
      </c>
      <c r="N29" s="10">
        <f t="shared" si="11"/>
        <v>6.5447916666666668</v>
      </c>
      <c r="O29" s="11">
        <f t="shared" si="12"/>
        <v>1.4608909970238096E-2</v>
      </c>
      <c r="P29" s="10">
        <f t="shared" si="13"/>
        <v>49.185336271809007</v>
      </c>
      <c r="Q29" s="10">
        <f t="shared" si="14"/>
        <v>30.489872214986072</v>
      </c>
      <c r="R29" s="11">
        <f t="shared" si="15"/>
        <v>6.8057750479879622E-2</v>
      </c>
    </row>
    <row r="30" spans="1:18" x14ac:dyDescent="0.25">
      <c r="I30" s="2" t="s">
        <v>26</v>
      </c>
      <c r="J30" s="9">
        <f>'PE Growth'!D9</f>
        <v>0</v>
      </c>
      <c r="K30" s="76">
        <f>'PE Growth'!I9</f>
        <v>104</v>
      </c>
      <c r="L30" s="9">
        <f t="shared" si="9"/>
        <v>104</v>
      </c>
      <c r="M30" s="10">
        <f t="shared" si="10"/>
        <v>8.9998490004566811</v>
      </c>
      <c r="N30" s="10">
        <f t="shared" si="11"/>
        <v>5.5791666666666675</v>
      </c>
      <c r="O30" s="11">
        <f t="shared" si="12"/>
        <v>1.2453497023809525E-2</v>
      </c>
      <c r="P30" s="10">
        <f t="shared" si="13"/>
        <v>41.928483379247027</v>
      </c>
      <c r="Q30" s="10">
        <f t="shared" si="14"/>
        <v>25.991366478348784</v>
      </c>
      <c r="R30" s="11">
        <f t="shared" si="15"/>
        <v>5.8016443032028533E-2</v>
      </c>
    </row>
    <row r="31" spans="1:18" ht="46.5" customHeight="1" x14ac:dyDescent="0.25">
      <c r="A31" s="91" t="s">
        <v>69</v>
      </c>
      <c r="B31" s="92"/>
      <c r="C31" s="92"/>
      <c r="D31" s="92"/>
      <c r="E31" s="92"/>
      <c r="F31" s="92"/>
      <c r="I31" s="2" t="s">
        <v>27</v>
      </c>
      <c r="J31" s="9">
        <f>'PE Growth'!D10</f>
        <v>0</v>
      </c>
      <c r="K31" s="76">
        <f>'PE Growth'!I10</f>
        <v>20</v>
      </c>
      <c r="L31" s="9">
        <f>J31+K31</f>
        <v>20</v>
      </c>
      <c r="M31" s="10">
        <f t="shared" si="10"/>
        <v>1.7307401923955157</v>
      </c>
      <c r="N31" s="10">
        <f t="shared" si="11"/>
        <v>1.0729166666666667</v>
      </c>
      <c r="O31" s="11">
        <f t="shared" si="12"/>
        <v>2.394903273809524E-3</v>
      </c>
      <c r="P31" s="10">
        <f t="shared" si="13"/>
        <v>8.0631698806244287</v>
      </c>
      <c r="Q31" s="10">
        <f t="shared" si="14"/>
        <v>4.9983397073747664</v>
      </c>
      <c r="R31" s="11">
        <f t="shared" si="15"/>
        <v>1.1157008275390103E-2</v>
      </c>
    </row>
    <row r="32" spans="1:18" x14ac:dyDescent="0.25">
      <c r="A32" s="90"/>
      <c r="B32" s="90"/>
      <c r="C32" s="90"/>
      <c r="D32" s="90"/>
      <c r="I32" s="2"/>
      <c r="J32" s="9"/>
      <c r="K32" s="9"/>
      <c r="L32" s="12"/>
      <c r="M32" s="10"/>
      <c r="N32" s="10"/>
      <c r="O32" s="11"/>
      <c r="P32" s="10"/>
      <c r="Q32" s="10"/>
      <c r="R32" s="11"/>
    </row>
    <row r="33" spans="1:18" ht="3.6" customHeight="1" x14ac:dyDescent="0.25">
      <c r="A33" s="90"/>
      <c r="B33" s="90"/>
      <c r="C33" s="90"/>
      <c r="D33" s="90"/>
      <c r="I33" s="2"/>
      <c r="J33" s="9"/>
      <c r="K33" s="9"/>
      <c r="L33" s="12"/>
      <c r="M33" s="10"/>
      <c r="N33" s="10"/>
      <c r="O33" s="11"/>
      <c r="P33" s="10"/>
      <c r="Q33" s="10"/>
      <c r="R33" s="11"/>
    </row>
    <row r="34" spans="1:18" x14ac:dyDescent="0.25">
      <c r="I34" s="2"/>
      <c r="J34" s="9"/>
      <c r="K34" s="9"/>
      <c r="L34" s="9"/>
      <c r="M34" s="10"/>
      <c r="N34" s="10"/>
      <c r="O34" s="11"/>
      <c r="P34" s="9"/>
      <c r="Q34" s="9"/>
      <c r="R34" s="9"/>
    </row>
    <row r="35" spans="1:18" x14ac:dyDescent="0.25">
      <c r="I35" s="2" t="s">
        <v>6</v>
      </c>
      <c r="J35" s="13">
        <f t="shared" ref="J35:K35" si="16">SUM(J25:J34)</f>
        <v>81</v>
      </c>
      <c r="K35" s="13">
        <f t="shared" si="16"/>
        <v>428</v>
      </c>
      <c r="L35" s="13">
        <f>SUM(L25:L34)</f>
        <v>509</v>
      </c>
      <c r="M35" s="14">
        <f t="shared" ref="M35:R35" si="17">SUM(M25:M34)</f>
        <v>44.047337896465876</v>
      </c>
      <c r="N35" s="14">
        <f t="shared" si="17"/>
        <v>27.305729166666669</v>
      </c>
      <c r="O35" s="15">
        <f t="shared" si="17"/>
        <v>6.0950288318452381E-2</v>
      </c>
      <c r="P35" s="14">
        <f t="shared" si="17"/>
        <v>205.20767346189169</v>
      </c>
      <c r="Q35" s="14">
        <f t="shared" si="17"/>
        <v>127.20774555268778</v>
      </c>
      <c r="R35" s="15">
        <f t="shared" si="17"/>
        <v>0.2839458606086781</v>
      </c>
    </row>
    <row r="37" spans="1:18" x14ac:dyDescent="0.25">
      <c r="I37" s="93" t="s">
        <v>246</v>
      </c>
      <c r="J37" s="93"/>
      <c r="K37" s="93"/>
      <c r="L37" s="93"/>
      <c r="M37" s="93"/>
      <c r="N37" s="93"/>
      <c r="O37" s="93"/>
      <c r="P37" s="93"/>
      <c r="Q37" s="93"/>
      <c r="R37" s="93"/>
    </row>
    <row r="39" spans="1:18" x14ac:dyDescent="0.25">
      <c r="I39" s="94" t="s">
        <v>0</v>
      </c>
      <c r="J39" s="94" t="s">
        <v>7</v>
      </c>
      <c r="K39" s="95"/>
      <c r="L39" s="95"/>
      <c r="M39" s="96" t="s">
        <v>30</v>
      </c>
      <c r="N39" s="96"/>
      <c r="O39" s="96"/>
      <c r="P39" s="96" t="s">
        <v>28</v>
      </c>
      <c r="Q39" s="96"/>
      <c r="R39" s="96"/>
    </row>
    <row r="40" spans="1:18" x14ac:dyDescent="0.25">
      <c r="I40" s="94"/>
      <c r="J40" s="2" t="s">
        <v>4</v>
      </c>
      <c r="K40" s="2" t="s">
        <v>5</v>
      </c>
      <c r="L40" s="2" t="s">
        <v>20</v>
      </c>
      <c r="M40" s="1" t="s">
        <v>1</v>
      </c>
      <c r="N40" s="1" t="s">
        <v>2</v>
      </c>
      <c r="O40" s="1" t="s">
        <v>3</v>
      </c>
      <c r="P40" s="1" t="s">
        <v>1</v>
      </c>
      <c r="Q40" s="1" t="s">
        <v>2</v>
      </c>
      <c r="R40" s="1" t="s">
        <v>3</v>
      </c>
    </row>
    <row r="41" spans="1:18" x14ac:dyDescent="0.25">
      <c r="I41" s="2" t="s">
        <v>21</v>
      </c>
      <c r="J41" s="9">
        <f>'PE Growth'!D4</f>
        <v>0</v>
      </c>
      <c r="K41" s="76">
        <f>'PE Growth'!H4</f>
        <v>142</v>
      </c>
      <c r="L41" s="9">
        <f t="shared" ref="L41:L47" si="18">J41+K41</f>
        <v>142</v>
      </c>
      <c r="M41" s="10">
        <f>L41*$B$13</f>
        <v>12.288255366008162</v>
      </c>
      <c r="N41" s="10">
        <f>L41*$B$14</f>
        <v>7.6177083333333337</v>
      </c>
      <c r="O41" s="11">
        <f>L41*$B$15</f>
        <v>1.7003813244047622E-2</v>
      </c>
      <c r="P41" s="10">
        <f>L41*B$27</f>
        <v>57.248506152433436</v>
      </c>
      <c r="Q41" s="10">
        <f>L41*B$28</f>
        <v>35.48821192236084</v>
      </c>
      <c r="R41" s="11">
        <f>L41*B$29</f>
        <v>7.9214758755269732E-2</v>
      </c>
    </row>
    <row r="42" spans="1:18" x14ac:dyDescent="0.25">
      <c r="I42" s="2" t="s">
        <v>22</v>
      </c>
      <c r="J42" s="9">
        <f>'PE Growth'!D5</f>
        <v>0</v>
      </c>
      <c r="K42" s="76">
        <f>'PE Growth'!H5</f>
        <v>153</v>
      </c>
      <c r="L42" s="9">
        <f t="shared" si="18"/>
        <v>153</v>
      </c>
      <c r="M42" s="10">
        <f t="shared" ref="M42:M47" si="19">L42*$B$13</f>
        <v>13.240162471825695</v>
      </c>
      <c r="N42" s="10">
        <f t="shared" ref="N42:N47" si="20">L42*$B$14</f>
        <v>8.2078125000000011</v>
      </c>
      <c r="O42" s="11">
        <f t="shared" ref="O42:O47" si="21">L42*$B$15</f>
        <v>1.8321010044642858E-2</v>
      </c>
      <c r="P42" s="10">
        <f t="shared" ref="P42:P47" si="22">L42*B$27</f>
        <v>61.683249586776874</v>
      </c>
      <c r="Q42" s="10">
        <f t="shared" ref="Q42:Q47" si="23">L42*B$28</f>
        <v>38.237298761416959</v>
      </c>
      <c r="R42" s="11">
        <f t="shared" ref="R42:R47" si="24">L42*B$29</f>
        <v>8.5351113306734283E-2</v>
      </c>
    </row>
    <row r="43" spans="1:18" x14ac:dyDescent="0.25">
      <c r="I43" s="2" t="s">
        <v>23</v>
      </c>
      <c r="J43" s="9">
        <f>'PE Growth'!D6</f>
        <v>0</v>
      </c>
      <c r="K43" s="76">
        <f>'PE Growth'!H6</f>
        <v>67</v>
      </c>
      <c r="L43" s="9">
        <f t="shared" si="18"/>
        <v>67</v>
      </c>
      <c r="M43" s="10">
        <f t="shared" si="19"/>
        <v>5.7979796445249772</v>
      </c>
      <c r="N43" s="10">
        <f t="shared" si="20"/>
        <v>3.5942708333333337</v>
      </c>
      <c r="O43" s="11">
        <f t="shared" si="21"/>
        <v>8.0229259672619062E-3</v>
      </c>
      <c r="P43" s="10">
        <f t="shared" si="22"/>
        <v>27.011619100091835</v>
      </c>
      <c r="Q43" s="10">
        <f t="shared" si="23"/>
        <v>16.744438019705466</v>
      </c>
      <c r="R43" s="11">
        <f t="shared" si="24"/>
        <v>3.7375977722556845E-2</v>
      </c>
    </row>
    <row r="44" spans="1:18" x14ac:dyDescent="0.25">
      <c r="I44" s="2" t="s">
        <v>24</v>
      </c>
      <c r="J44" s="9">
        <f>'PE Growth'!D7</f>
        <v>81</v>
      </c>
      <c r="K44" s="76">
        <f>'PE Growth'!H7</f>
        <v>0</v>
      </c>
      <c r="L44" s="9">
        <f t="shared" si="18"/>
        <v>81</v>
      </c>
      <c r="M44" s="10">
        <f t="shared" si="19"/>
        <v>7.0094977792018387</v>
      </c>
      <c r="N44" s="10">
        <f t="shared" si="20"/>
        <v>4.3453125000000004</v>
      </c>
      <c r="O44" s="11">
        <f t="shared" si="21"/>
        <v>9.6993582589285712E-3</v>
      </c>
      <c r="P44" s="10">
        <f t="shared" si="22"/>
        <v>32.655838016528932</v>
      </c>
      <c r="Q44" s="10">
        <f t="shared" si="23"/>
        <v>20.2432758148678</v>
      </c>
      <c r="R44" s="11">
        <f t="shared" si="24"/>
        <v>4.5185883515329914E-2</v>
      </c>
    </row>
    <row r="45" spans="1:18" x14ac:dyDescent="0.25">
      <c r="I45" s="2" t="s">
        <v>25</v>
      </c>
      <c r="J45" s="9">
        <f>'PE Growth'!D8</f>
        <v>0</v>
      </c>
      <c r="K45" s="76">
        <f>'PE Growth'!H8</f>
        <v>229</v>
      </c>
      <c r="L45" s="9">
        <f t="shared" si="18"/>
        <v>229</v>
      </c>
      <c r="M45" s="10">
        <f t="shared" si="19"/>
        <v>19.816975202928656</v>
      </c>
      <c r="N45" s="10">
        <f t="shared" si="20"/>
        <v>12.284895833333334</v>
      </c>
      <c r="O45" s="11">
        <f t="shared" si="21"/>
        <v>2.7421642485119049E-2</v>
      </c>
      <c r="P45" s="10">
        <f t="shared" si="22"/>
        <v>92.323295133149699</v>
      </c>
      <c r="Q45" s="10">
        <f t="shared" si="23"/>
        <v>57.230989649441071</v>
      </c>
      <c r="R45" s="11">
        <f t="shared" si="24"/>
        <v>0.12774774475321668</v>
      </c>
    </row>
    <row r="46" spans="1:18" x14ac:dyDescent="0.25">
      <c r="I46" s="2" t="s">
        <v>26</v>
      </c>
      <c r="J46" s="9">
        <f>'PE Growth'!D9</f>
        <v>0</v>
      </c>
      <c r="K46" s="76">
        <f>'PE Growth'!H9</f>
        <v>242</v>
      </c>
      <c r="L46" s="9">
        <f t="shared" si="18"/>
        <v>242</v>
      </c>
      <c r="M46" s="10">
        <f t="shared" si="19"/>
        <v>20.941956327985739</v>
      </c>
      <c r="N46" s="10">
        <f t="shared" si="20"/>
        <v>12.982291666666667</v>
      </c>
      <c r="O46" s="11">
        <f t="shared" si="21"/>
        <v>2.8978329613095238E-2</v>
      </c>
      <c r="P46" s="10">
        <f t="shared" si="22"/>
        <v>97.564355555555579</v>
      </c>
      <c r="Q46" s="10">
        <f t="shared" si="23"/>
        <v>60.479910459234667</v>
      </c>
      <c r="R46" s="11">
        <f t="shared" si="24"/>
        <v>0.13499980013222024</v>
      </c>
    </row>
    <row r="47" spans="1:18" x14ac:dyDescent="0.25">
      <c r="I47" s="2" t="s">
        <v>27</v>
      </c>
      <c r="J47" s="9">
        <f>'PE Growth'!D10</f>
        <v>0</v>
      </c>
      <c r="K47" s="76">
        <f>'PE Growth'!H10</f>
        <v>4</v>
      </c>
      <c r="L47" s="9">
        <f t="shared" si="18"/>
        <v>4</v>
      </c>
      <c r="M47" s="10">
        <f t="shared" si="19"/>
        <v>0.34614803847910314</v>
      </c>
      <c r="N47" s="10">
        <f t="shared" si="20"/>
        <v>0.21458333333333335</v>
      </c>
      <c r="O47" s="11">
        <f t="shared" si="21"/>
        <v>4.7898065476190479E-4</v>
      </c>
      <c r="P47" s="10">
        <f t="shared" si="22"/>
        <v>1.6126339761248856</v>
      </c>
      <c r="Q47" s="10">
        <f t="shared" si="23"/>
        <v>0.99966794147495319</v>
      </c>
      <c r="R47" s="11">
        <f t="shared" si="24"/>
        <v>2.2314016550780205E-3</v>
      </c>
    </row>
    <row r="48" spans="1:18" x14ac:dyDescent="0.25">
      <c r="I48" s="2"/>
      <c r="J48" s="9"/>
      <c r="K48" s="9"/>
      <c r="L48" s="12"/>
      <c r="M48" s="10"/>
      <c r="N48" s="10"/>
      <c r="O48" s="11"/>
      <c r="P48" s="10"/>
      <c r="Q48" s="10"/>
      <c r="R48" s="11"/>
    </row>
    <row r="49" spans="9:18" x14ac:dyDescent="0.25">
      <c r="I49" s="2"/>
      <c r="J49" s="9"/>
      <c r="K49" s="9"/>
      <c r="L49" s="12"/>
      <c r="M49" s="10"/>
      <c r="N49" s="10"/>
      <c r="O49" s="11"/>
      <c r="P49" s="10"/>
      <c r="Q49" s="10"/>
      <c r="R49" s="11"/>
    </row>
    <row r="50" spans="9:18" x14ac:dyDescent="0.25">
      <c r="I50" s="2"/>
      <c r="J50" s="9"/>
      <c r="K50" s="9"/>
      <c r="L50" s="9"/>
      <c r="M50" s="10"/>
      <c r="N50" s="10"/>
      <c r="O50" s="11"/>
      <c r="P50" s="9"/>
      <c r="Q50" s="9"/>
      <c r="R50" s="9"/>
    </row>
    <row r="51" spans="9:18" x14ac:dyDescent="0.25">
      <c r="I51" s="2" t="s">
        <v>6</v>
      </c>
      <c r="J51" s="13">
        <f t="shared" ref="J51:K51" si="25">SUM(J41:J50)</f>
        <v>81</v>
      </c>
      <c r="K51" s="13">
        <f t="shared" si="25"/>
        <v>837</v>
      </c>
      <c r="L51" s="13">
        <f>SUM(L41:L50)</f>
        <v>918</v>
      </c>
      <c r="M51" s="14">
        <f t="shared" ref="M51:R51" si="26">SUM(M41:M50)</f>
        <v>79.440974830954161</v>
      </c>
      <c r="N51" s="14">
        <f t="shared" si="26"/>
        <v>49.246874999999996</v>
      </c>
      <c r="O51" s="15">
        <f t="shared" si="26"/>
        <v>0.10992606026785715</v>
      </c>
      <c r="P51" s="14">
        <f t="shared" si="26"/>
        <v>370.09949752066126</v>
      </c>
      <c r="Q51" s="14">
        <f t="shared" si="26"/>
        <v>229.42379256850177</v>
      </c>
      <c r="R51" s="15">
        <f t="shared" si="26"/>
        <v>0.51210667984040581</v>
      </c>
    </row>
  </sheetData>
  <mergeCells count="17">
    <mergeCell ref="I37:R37"/>
    <mergeCell ref="I39:I40"/>
    <mergeCell ref="J39:L39"/>
    <mergeCell ref="M39:O39"/>
    <mergeCell ref="P39:R39"/>
    <mergeCell ref="A32:D33"/>
    <mergeCell ref="A31:F31"/>
    <mergeCell ref="I5:R5"/>
    <mergeCell ref="I7:I8"/>
    <mergeCell ref="J7:L7"/>
    <mergeCell ref="M7:O7"/>
    <mergeCell ref="P7:R7"/>
    <mergeCell ref="I21:R21"/>
    <mergeCell ref="I23:I24"/>
    <mergeCell ref="J23:L23"/>
    <mergeCell ref="M23:O23"/>
    <mergeCell ref="P23:R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47"/>
  <sheetViews>
    <sheetView topLeftCell="A22" workbookViewId="0">
      <selection activeCell="J51" sqref="J51"/>
    </sheetView>
  </sheetViews>
  <sheetFormatPr defaultRowHeight="15" x14ac:dyDescent="0.25"/>
  <cols>
    <col min="2" max="2" width="22.28515625" customWidth="1"/>
    <col min="3" max="3" width="23.85546875" customWidth="1"/>
    <col min="4" max="4" width="9.85546875" customWidth="1"/>
    <col min="7" max="7" width="11.5703125" customWidth="1"/>
    <col min="8" max="8" width="12.28515625" customWidth="1"/>
  </cols>
  <sheetData>
    <row r="2" spans="2:32" x14ac:dyDescent="0.25">
      <c r="B2" s="3" t="s">
        <v>81</v>
      </c>
    </row>
    <row r="4" spans="2:32" x14ac:dyDescent="0.25">
      <c r="B4" t="s">
        <v>82</v>
      </c>
      <c r="C4">
        <f>'Consumptive Use Calculator'!B7</f>
        <v>53</v>
      </c>
      <c r="D4" t="s">
        <v>83</v>
      </c>
    </row>
    <row r="5" spans="2:32" x14ac:dyDescent="0.25">
      <c r="B5" t="s">
        <v>84</v>
      </c>
      <c r="C5">
        <f>'Consumptive Use Calculator'!B8*365*2.5</f>
        <v>29200</v>
      </c>
      <c r="D5" t="s">
        <v>85</v>
      </c>
    </row>
    <row r="6" spans="2:32" x14ac:dyDescent="0.25">
      <c r="B6" t="s">
        <v>32</v>
      </c>
      <c r="C6" s="36">
        <v>0.1</v>
      </c>
      <c r="D6" t="s">
        <v>86</v>
      </c>
    </row>
    <row r="7" spans="2:32" x14ac:dyDescent="0.25">
      <c r="B7" t="s">
        <v>33</v>
      </c>
      <c r="C7" s="36">
        <v>0.8</v>
      </c>
      <c r="D7" t="s">
        <v>87</v>
      </c>
    </row>
    <row r="8" spans="2:32" x14ac:dyDescent="0.25">
      <c r="B8" t="s">
        <v>34</v>
      </c>
      <c r="C8">
        <v>2.5</v>
      </c>
      <c r="D8" t="s">
        <v>88</v>
      </c>
    </row>
    <row r="9" spans="2:32" x14ac:dyDescent="0.25">
      <c r="B9" t="s">
        <v>89</v>
      </c>
      <c r="C9">
        <f>C4*C6</f>
        <v>5.3000000000000007</v>
      </c>
      <c r="D9" t="s">
        <v>280</v>
      </c>
    </row>
    <row r="12" spans="2:32" x14ac:dyDescent="0.25">
      <c r="B12" s="97" t="s">
        <v>247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4" spans="2:32" ht="15" customHeight="1" x14ac:dyDescent="0.25">
      <c r="B14" s="98" t="s">
        <v>0</v>
      </c>
      <c r="C14" s="98" t="s">
        <v>90</v>
      </c>
      <c r="D14" s="100" t="s">
        <v>91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32" ht="51.75" customHeight="1" x14ac:dyDescent="0.25">
      <c r="B15" s="99"/>
      <c r="C15" s="99"/>
      <c r="D15" s="37" t="s">
        <v>51</v>
      </c>
      <c r="E15" s="37" t="s">
        <v>52</v>
      </c>
      <c r="F15" s="37" t="s">
        <v>92</v>
      </c>
      <c r="G15" s="37" t="s">
        <v>93</v>
      </c>
      <c r="H15" s="37" t="s">
        <v>55</v>
      </c>
      <c r="I15" s="37" t="s">
        <v>94</v>
      </c>
      <c r="J15" s="37" t="s">
        <v>95</v>
      </c>
      <c r="K15" s="37" t="s">
        <v>58</v>
      </c>
      <c r="L15" s="37" t="s">
        <v>96</v>
      </c>
      <c r="M15" s="37" t="s">
        <v>60</v>
      </c>
      <c r="N15" s="37" t="s">
        <v>61</v>
      </c>
      <c r="O15" s="37" t="s">
        <v>62</v>
      </c>
      <c r="X15" s="97"/>
      <c r="Y15" s="97"/>
      <c r="Z15" s="97"/>
      <c r="AA15" s="97"/>
      <c r="AB15" s="101"/>
      <c r="AC15" s="101"/>
      <c r="AD15" s="97"/>
      <c r="AE15" s="97"/>
      <c r="AF15" s="97"/>
    </row>
    <row r="16" spans="2:32" x14ac:dyDescent="0.25">
      <c r="B16" s="2" t="s">
        <v>21</v>
      </c>
      <c r="C16" s="39">
        <f>'Consumptive Use Calculator'!L9</f>
        <v>109</v>
      </c>
      <c r="D16" s="40">
        <f>$C$9*$C16/(24*60*448)</f>
        <v>8.9549231150793654E-4</v>
      </c>
      <c r="E16" s="40">
        <f t="shared" ref="E16:O16" si="0">$C$9*$C16/(24*60*448)</f>
        <v>8.9549231150793654E-4</v>
      </c>
      <c r="F16" s="40">
        <f t="shared" si="0"/>
        <v>8.9549231150793654E-4</v>
      </c>
      <c r="G16" s="40">
        <f>$C$9*$C16/(24*60*448)+($C$5*$C16*WAIG!F$17/(30*24*60*448))</f>
        <v>9.4871320874889975E-3</v>
      </c>
      <c r="H16" s="40">
        <f>$C$9*$C16/(24*60*448)+($C$5*$C16*WAIG!G$17/(30*24*60*448))</f>
        <v>2.4709276473194569E-2</v>
      </c>
      <c r="I16" s="40">
        <f>$C$9*$C16/(24*60*448)+($C$5*$C16*WAIG!H$17/(30*24*60*448))</f>
        <v>3.2273654971612678E-2</v>
      </c>
      <c r="J16" s="40">
        <f>$C$9*$C16/(24*60*448)+($C$5*$C16*WAIG!I$17/(30*24*60*448))</f>
        <v>4.8429673246011835E-2</v>
      </c>
      <c r="K16" s="40">
        <f>$C$9*$C16/(24*60*448)+($C$5*$C16*WAIG!J$17/(30*24*60*448))</f>
        <v>3.4514952304477299E-2</v>
      </c>
      <c r="L16" s="40">
        <f>$C$9*$C16/(24*60*448)+($C$5*$C16*WAIG!K$17/(30*24*60*448))</f>
        <v>2.0413456585204034E-2</v>
      </c>
      <c r="M16" s="40">
        <f t="shared" si="0"/>
        <v>8.9549231150793654E-4</v>
      </c>
      <c r="N16" s="40">
        <f t="shared" si="0"/>
        <v>8.9549231150793654E-4</v>
      </c>
      <c r="O16" s="40">
        <f t="shared" si="0"/>
        <v>8.9549231150793654E-4</v>
      </c>
      <c r="X16" s="16"/>
      <c r="Y16" s="16"/>
      <c r="Z16" s="16"/>
      <c r="AA16" s="16"/>
      <c r="AB16" s="16"/>
      <c r="AC16" s="16"/>
      <c r="AD16" s="16"/>
      <c r="AE16" s="16"/>
      <c r="AF16" s="16"/>
    </row>
    <row r="17" spans="2:32" x14ac:dyDescent="0.25">
      <c r="B17" s="2" t="s">
        <v>22</v>
      </c>
      <c r="C17" s="39">
        <f>'Consumptive Use Calculator'!L10</f>
        <v>102</v>
      </c>
      <c r="D17" s="40">
        <f t="shared" ref="D17:D22" si="1">$C$9*$C17/(24*60*448)</f>
        <v>8.3798363095238099E-4</v>
      </c>
      <c r="E17" s="40">
        <f t="shared" ref="E17:F22" si="2">$C$9*$C17/(24*60*448)</f>
        <v>8.3798363095238099E-4</v>
      </c>
      <c r="F17" s="40">
        <f t="shared" si="2"/>
        <v>8.3798363095238099E-4</v>
      </c>
      <c r="G17" s="40">
        <f>$C$9*$C17/(24*60*448)+($C$5*$C17*WAIG!F18/(30*24*60*448))</f>
        <v>8.3798363095238099E-4</v>
      </c>
      <c r="H17" s="40">
        <f>$C$9*$C17/(24*60*448)+($C$5*$C17*WAIG!G$17/(30*24*60*448))</f>
        <v>2.3122442204273817E-2</v>
      </c>
      <c r="I17" s="40">
        <f>$C$9*$C17/(24*60*448)+($C$5*$C17*WAIG!H$17/(30*24*60*448))</f>
        <v>3.0201034927564152E-2</v>
      </c>
      <c r="J17" s="40">
        <f>$C$9*$C17/(24*60*448)+($C$5*$C17*WAIG!I$17/(30*24*60*448))</f>
        <v>4.5319510743974382E-2</v>
      </c>
      <c r="K17" s="40">
        <f>$C$9*$C17/(24*60*448)+($C$5*$C17*WAIG!J$17/(30*24*60*448))</f>
        <v>3.2298395734464996E-2</v>
      </c>
      <c r="L17" s="40">
        <f>$C$9*$C17/(24*60*448)+($C$5*$C17*WAIG!K$17/(30*24*60*448))</f>
        <v>1.9102500657713871E-2</v>
      </c>
      <c r="M17" s="40">
        <f t="shared" ref="M17:O22" si="3">$C$9*$C17/(24*60*448)</f>
        <v>8.3798363095238099E-4</v>
      </c>
      <c r="N17" s="40">
        <f t="shared" si="3"/>
        <v>8.3798363095238099E-4</v>
      </c>
      <c r="O17" s="40">
        <f t="shared" si="3"/>
        <v>8.3798363095238099E-4</v>
      </c>
      <c r="X17" s="41"/>
      <c r="Y17" s="41"/>
      <c r="Z17" s="42"/>
      <c r="AA17" s="41"/>
      <c r="AB17" s="41"/>
      <c r="AC17" s="42"/>
      <c r="AD17" s="41"/>
      <c r="AE17" s="41"/>
      <c r="AF17" s="42"/>
    </row>
    <row r="18" spans="2:32" x14ac:dyDescent="0.25">
      <c r="B18" s="2" t="s">
        <v>23</v>
      </c>
      <c r="C18" s="39">
        <f>'Consumptive Use Calculator'!L11</f>
        <v>52</v>
      </c>
      <c r="D18" s="40">
        <f t="shared" si="1"/>
        <v>4.272073412698413E-4</v>
      </c>
      <c r="E18" s="40">
        <f t="shared" si="2"/>
        <v>4.272073412698413E-4</v>
      </c>
      <c r="F18" s="40">
        <f t="shared" si="2"/>
        <v>4.272073412698413E-4</v>
      </c>
      <c r="G18" s="40">
        <f>$C$9*$C18/(24*60*448)+($C$5*$C18*WAIG!F19/(30*24*60*448))</f>
        <v>4.272073412698413E-4</v>
      </c>
      <c r="H18" s="40">
        <f>$C$9*$C18/(24*60*448)+($C$5*$C18*WAIG!G$17/(30*24*60*448))</f>
        <v>1.178791171198273E-2</v>
      </c>
      <c r="I18" s="40">
        <f>$C$9*$C18/(24*60*448)+($C$5*$C18*WAIG!H$17/(30*24*60*448))</f>
        <v>1.5396606041503296E-2</v>
      </c>
      <c r="J18" s="40">
        <f>$C$9*$C18/(24*60*448)+($C$5*$C18*WAIG!I$17/(30*24*60*448))</f>
        <v>2.3104064300849683E-2</v>
      </c>
      <c r="K18" s="40">
        <f>$C$9*$C18/(24*60*448)+($C$5*$C18*WAIG!J$17/(30*24*60*448))</f>
        <v>1.6465848805805684E-2</v>
      </c>
      <c r="L18" s="40">
        <f>$C$9*$C18/(24*60*448)+($C$5*$C18*WAIG!K$17/(30*24*60*448))</f>
        <v>9.738529747069815E-3</v>
      </c>
      <c r="M18" s="40">
        <f t="shared" si="3"/>
        <v>4.272073412698413E-4</v>
      </c>
      <c r="N18" s="40">
        <f t="shared" si="3"/>
        <v>4.272073412698413E-4</v>
      </c>
      <c r="O18" s="40">
        <f t="shared" si="3"/>
        <v>4.272073412698413E-4</v>
      </c>
      <c r="X18" s="41"/>
      <c r="Y18" s="41"/>
      <c r="Z18" s="42"/>
      <c r="AA18" s="41"/>
      <c r="AB18" s="41"/>
      <c r="AC18" s="42"/>
      <c r="AD18" s="41"/>
      <c r="AE18" s="41"/>
      <c r="AF18" s="42"/>
    </row>
    <row r="19" spans="2:32" x14ac:dyDescent="0.25">
      <c r="B19" s="2" t="s">
        <v>24</v>
      </c>
      <c r="C19" s="39">
        <f>'Consumptive Use Calculator'!L12</f>
        <v>81</v>
      </c>
      <c r="D19" s="40">
        <f t="shared" si="1"/>
        <v>6.6545758928571435E-4</v>
      </c>
      <c r="E19" s="40">
        <f t="shared" si="2"/>
        <v>6.6545758928571435E-4</v>
      </c>
      <c r="F19" s="40">
        <f t="shared" si="2"/>
        <v>6.6545758928571435E-4</v>
      </c>
      <c r="G19" s="40">
        <f>$C$9*$C19/(24*60*448)+($C$5*$C19*WAIG!F20/(30*24*60*448))</f>
        <v>6.6545758928571435E-4</v>
      </c>
      <c r="H19" s="40">
        <f>$C$9*$C19/(24*60*448)+($C$5*$C19*WAIG!G$17/(30*24*60*448))</f>
        <v>1.8361939397511559E-2</v>
      </c>
      <c r="I19" s="40">
        <f>$C$9*$C19/(24*60*448)+($C$5*$C19*WAIG!H$17/(30*24*60*448))</f>
        <v>2.3983174795418595E-2</v>
      </c>
      <c r="J19" s="40">
        <f>$C$9*$C19/(24*60*448)+($C$5*$C19*WAIG!I$17/(30*24*60*448))</f>
        <v>3.5989023237862003E-2</v>
      </c>
      <c r="K19" s="40">
        <f>$C$9*$C19/(24*60*448)+($C$5*$C19*WAIG!J$17/(30*24*60*448))</f>
        <v>2.5648726024428088E-2</v>
      </c>
      <c r="L19" s="40">
        <f>$C$9*$C19/(24*60*448)+($C$5*$C19*WAIG!K$17/(30*24*60*448))</f>
        <v>1.5169632875243366E-2</v>
      </c>
      <c r="M19" s="40">
        <f t="shared" si="3"/>
        <v>6.6545758928571435E-4</v>
      </c>
      <c r="N19" s="40">
        <f t="shared" si="3"/>
        <v>6.6545758928571435E-4</v>
      </c>
      <c r="O19" s="40">
        <f t="shared" si="3"/>
        <v>6.6545758928571435E-4</v>
      </c>
      <c r="X19" s="41"/>
      <c r="Y19" s="41"/>
      <c r="Z19" s="42"/>
      <c r="AA19" s="41"/>
      <c r="AB19" s="41"/>
      <c r="AC19" s="42"/>
      <c r="AD19" s="41"/>
      <c r="AE19" s="41"/>
      <c r="AF19" s="42"/>
    </row>
    <row r="20" spans="2:32" x14ac:dyDescent="0.25">
      <c r="B20" s="2" t="s">
        <v>25</v>
      </c>
      <c r="C20" s="39">
        <f>'Consumptive Use Calculator'!L13</f>
        <v>167</v>
      </c>
      <c r="D20" s="40">
        <f t="shared" si="1"/>
        <v>1.3719928075396827E-3</v>
      </c>
      <c r="E20" s="40">
        <f t="shared" si="2"/>
        <v>1.3719928075396827E-3</v>
      </c>
      <c r="F20" s="40">
        <f t="shared" si="2"/>
        <v>1.3719928075396827E-3</v>
      </c>
      <c r="G20" s="40">
        <f>$C$9*$C20/(24*60*448)+($C$5*$C20*WAIG!F21/(30*24*60*448))</f>
        <v>1.3719928075396827E-3</v>
      </c>
      <c r="H20" s="40">
        <f>$C$9*$C20/(24*60*448)+($C$5*$C20*WAIG!G$17/(30*24*60*448))</f>
        <v>3.7857331844252232E-2</v>
      </c>
      <c r="I20" s="40">
        <f>$C$9*$C20/(24*60*448)+($C$5*$C20*WAIG!H$17/(30*24*60*448))</f>
        <v>4.9446792479443273E-2</v>
      </c>
      <c r="J20" s="40">
        <f>$C$9*$C20/(24*60*448)+($C$5*$C20*WAIG!I$17/(30*24*60*448))</f>
        <v>7.419959112003649E-2</v>
      </c>
      <c r="K20" s="40">
        <f>$C$9*$C20/(24*60*448)+($C$5*$C20*WAIG!J$17/(30*24*60*448))</f>
        <v>5.2880706741722107E-2</v>
      </c>
      <c r="L20" s="40">
        <f>$C$9*$C20/(24*60*448)+($C$5*$C20*WAIG!K$17/(30*24*60*448))</f>
        <v>3.1275662841551144E-2</v>
      </c>
      <c r="M20" s="40">
        <f t="shared" si="3"/>
        <v>1.3719928075396827E-3</v>
      </c>
      <c r="N20" s="40">
        <f t="shared" si="3"/>
        <v>1.3719928075396827E-3</v>
      </c>
      <c r="O20" s="40">
        <f t="shared" si="3"/>
        <v>1.3719928075396827E-3</v>
      </c>
      <c r="X20" s="41"/>
      <c r="Y20" s="41"/>
      <c r="Z20" s="42"/>
      <c r="AA20" s="41"/>
      <c r="AB20" s="41"/>
      <c r="AC20" s="42"/>
      <c r="AD20" s="41"/>
      <c r="AE20" s="41"/>
      <c r="AF20" s="42"/>
    </row>
    <row r="21" spans="2:32" x14ac:dyDescent="0.25">
      <c r="B21" s="2" t="s">
        <v>26</v>
      </c>
      <c r="C21" s="39">
        <f>'Consumptive Use Calculator'!L14</f>
        <v>165</v>
      </c>
      <c r="D21" s="40">
        <f t="shared" si="1"/>
        <v>1.3555617559523811E-3</v>
      </c>
      <c r="E21" s="40">
        <f t="shared" si="2"/>
        <v>1.3555617559523811E-3</v>
      </c>
      <c r="F21" s="40">
        <f t="shared" si="2"/>
        <v>1.3555617559523811E-3</v>
      </c>
      <c r="G21" s="40">
        <f>$C$9*$C21/(24*60*448)+($C$5*$C21*WAIG!F22/(30*24*60*448))</f>
        <v>1.3555617559523811E-3</v>
      </c>
      <c r="H21" s="40">
        <f>$C$9*$C21/(24*60*448)+($C$5*$C21*WAIG!G$17/(30*24*60*448))</f>
        <v>3.7403950624560589E-2</v>
      </c>
      <c r="I21" s="40">
        <f>$C$9*$C21/(24*60*448)+($C$5*$C21*WAIG!H$17/(30*24*60*448))</f>
        <v>4.8854615324000844E-2</v>
      </c>
      <c r="J21" s="40">
        <f>$C$9*$C21/(24*60*448)+($C$5*$C21*WAIG!I$17/(30*24*60*448))</f>
        <v>7.3310973262311493E-2</v>
      </c>
      <c r="K21" s="40">
        <f>$C$9*$C21/(24*60*448)+($C$5*$C21*WAIG!J$17/(30*24*60*448))</f>
        <v>5.2247404864575735E-2</v>
      </c>
      <c r="L21" s="40">
        <f>$C$9*$C21/(24*60*448)+($C$5*$C21*WAIG!K$17/(30*24*60*448))</f>
        <v>3.0901104005125381E-2</v>
      </c>
      <c r="M21" s="40">
        <f t="shared" si="3"/>
        <v>1.3555617559523811E-3</v>
      </c>
      <c r="N21" s="40">
        <f t="shared" si="3"/>
        <v>1.3555617559523811E-3</v>
      </c>
      <c r="O21" s="40">
        <f t="shared" si="3"/>
        <v>1.3555617559523811E-3</v>
      </c>
      <c r="X21" s="41"/>
      <c r="Y21" s="41"/>
      <c r="Z21" s="42"/>
      <c r="AA21" s="41"/>
      <c r="AB21" s="41"/>
      <c r="AC21" s="42"/>
      <c r="AD21" s="41"/>
      <c r="AE21" s="41"/>
      <c r="AF21" s="42"/>
    </row>
    <row r="22" spans="2:32" x14ac:dyDescent="0.25">
      <c r="B22" s="2" t="s">
        <v>27</v>
      </c>
      <c r="C22" s="39">
        <f>'Consumptive Use Calculator'!L15</f>
        <v>12</v>
      </c>
      <c r="D22" s="40">
        <f t="shared" si="1"/>
        <v>9.8586309523809531E-5</v>
      </c>
      <c r="E22" s="40">
        <f t="shared" si="2"/>
        <v>9.8586309523809531E-5</v>
      </c>
      <c r="F22" s="40">
        <f t="shared" si="2"/>
        <v>9.8586309523809531E-5</v>
      </c>
      <c r="G22" s="40">
        <f>$C$9*$C22/(24*60*448)+($C$5*$C22*WAIG!F23/(30*24*60*448))</f>
        <v>9.8586309523809531E-5</v>
      </c>
      <c r="H22" s="40">
        <f>$C$9*$C22/(24*60*448)+($C$5*$C22*WAIG!G$17/(30*24*60*448))</f>
        <v>2.7202873181498611E-3</v>
      </c>
      <c r="I22" s="40">
        <f>$C$9*$C22/(24*60*448)+($C$5*$C22*WAIG!H$17/(30*24*60*448))</f>
        <v>3.5530629326546073E-3</v>
      </c>
      <c r="J22" s="40">
        <f>$C$9*$C22/(24*60*448)+($C$5*$C22*WAIG!I$17/(30*24*60*448))</f>
        <v>5.3317071463499276E-3</v>
      </c>
      <c r="K22" s="40">
        <f>$C$9*$C22/(24*60*448)+($C$5*$C22*WAIG!J$17/(30*24*60*448))</f>
        <v>3.7998112628782354E-3</v>
      </c>
      <c r="L22" s="40">
        <f>$C$9*$C22/(24*60*448)+($C$5*$C22*WAIG!K$17/(30*24*60*448))</f>
        <v>2.2473530185545734E-3</v>
      </c>
      <c r="M22" s="40">
        <f t="shared" si="3"/>
        <v>9.8586309523809531E-5</v>
      </c>
      <c r="N22" s="40">
        <f t="shared" si="3"/>
        <v>9.8586309523809531E-5</v>
      </c>
      <c r="O22" s="40">
        <f t="shared" si="3"/>
        <v>9.8586309523809531E-5</v>
      </c>
      <c r="X22" s="41"/>
      <c r="Y22" s="41"/>
      <c r="Z22" s="42"/>
      <c r="AA22" s="41"/>
      <c r="AB22" s="41"/>
      <c r="AC22" s="42"/>
      <c r="AD22" s="41"/>
      <c r="AE22" s="41"/>
      <c r="AF22" s="42"/>
    </row>
    <row r="23" spans="2:32" x14ac:dyDescent="0.25">
      <c r="B23" s="2" t="s">
        <v>6</v>
      </c>
      <c r="C23" s="43">
        <f>SUM(C16:C22)</f>
        <v>688</v>
      </c>
      <c r="D23" s="44">
        <f t="shared" ref="D23:O23" si="4">SUM(D16:D22)</f>
        <v>5.6522817460317471E-3</v>
      </c>
      <c r="E23" s="44">
        <f t="shared" si="4"/>
        <v>5.6522817460317471E-3</v>
      </c>
      <c r="F23" s="44">
        <f t="shared" si="4"/>
        <v>5.6522817460317471E-3</v>
      </c>
      <c r="G23" s="44">
        <f t="shared" si="4"/>
        <v>1.4243921522012808E-2</v>
      </c>
      <c r="H23" s="44">
        <f t="shared" si="4"/>
        <v>0.15596313957392535</v>
      </c>
      <c r="I23" s="44">
        <f t="shared" si="4"/>
        <v>0.20370894147219745</v>
      </c>
      <c r="J23" s="44">
        <f t="shared" si="4"/>
        <v>0.30568454305739584</v>
      </c>
      <c r="K23" s="44">
        <f t="shared" si="4"/>
        <v>0.21785584573835212</v>
      </c>
      <c r="L23" s="44">
        <f t="shared" si="4"/>
        <v>0.12884823973046219</v>
      </c>
      <c r="M23" s="44">
        <f t="shared" si="4"/>
        <v>5.6522817460317471E-3</v>
      </c>
      <c r="N23" s="44">
        <f t="shared" si="4"/>
        <v>5.6522817460317471E-3</v>
      </c>
      <c r="O23" s="44">
        <f t="shared" si="4"/>
        <v>5.6522817460317471E-3</v>
      </c>
      <c r="X23" s="41"/>
      <c r="Y23" s="41"/>
      <c r="Z23" s="42"/>
      <c r="AA23" s="41"/>
      <c r="AB23" s="41"/>
      <c r="AC23" s="42"/>
      <c r="AD23" s="41"/>
      <c r="AE23" s="41"/>
      <c r="AF23" s="42"/>
    </row>
    <row r="24" spans="2:32" x14ac:dyDescent="0.25">
      <c r="G24" t="s">
        <v>279</v>
      </c>
      <c r="X24" s="45"/>
      <c r="Y24" s="45"/>
      <c r="Z24" s="45"/>
      <c r="AA24" s="45"/>
      <c r="AB24" s="45"/>
      <c r="AC24" s="45"/>
      <c r="AD24" s="45"/>
      <c r="AE24" s="45"/>
      <c r="AF24" s="45"/>
    </row>
    <row r="25" spans="2:32" x14ac:dyDescent="0.25">
      <c r="X25" s="45"/>
      <c r="Y25" s="45"/>
      <c r="Z25" s="45"/>
      <c r="AA25" s="45"/>
      <c r="AB25" s="45"/>
      <c r="AC25" s="45"/>
      <c r="AD25" s="45"/>
      <c r="AE25" s="45"/>
      <c r="AF25" s="45"/>
    </row>
    <row r="26" spans="2:32" x14ac:dyDescent="0.25">
      <c r="B26" s="3" t="s">
        <v>278</v>
      </c>
      <c r="X26" s="45"/>
      <c r="Y26" s="45"/>
      <c r="Z26" s="45"/>
      <c r="AA26" s="45"/>
      <c r="AB26" s="45"/>
      <c r="AC26" s="45"/>
      <c r="AD26" s="45"/>
      <c r="AE26" s="45"/>
      <c r="AF26" s="45"/>
    </row>
    <row r="27" spans="2:32" x14ac:dyDescent="0.25">
      <c r="X27" s="45"/>
      <c r="Y27" s="45"/>
      <c r="Z27" s="45"/>
      <c r="AA27" s="45"/>
      <c r="AB27" s="45"/>
      <c r="AC27" s="45"/>
      <c r="AD27" s="45"/>
      <c r="AE27" s="45"/>
      <c r="AF27" s="45"/>
    </row>
    <row r="28" spans="2:32" x14ac:dyDescent="0.25">
      <c r="B28" t="s">
        <v>82</v>
      </c>
      <c r="C28">
        <f>'Consumptive Use Calculator'!B23</f>
        <v>60</v>
      </c>
      <c r="D28" t="s">
        <v>83</v>
      </c>
      <c r="X28" s="45"/>
      <c r="Y28" s="45"/>
      <c r="Z28" s="45"/>
      <c r="AA28" s="45"/>
      <c r="AB28" s="45"/>
      <c r="AC28" s="45"/>
      <c r="AD28" s="45"/>
      <c r="AE28" s="45"/>
      <c r="AF28" s="45"/>
    </row>
    <row r="29" spans="2:32" x14ac:dyDescent="0.25">
      <c r="B29" t="s">
        <v>84</v>
      </c>
      <c r="C29" s="74">
        <f>('Consumptive Use Calculator'!B26-(C33*C32))*365</f>
        <v>125881.36750980884</v>
      </c>
      <c r="D29" t="s">
        <v>85</v>
      </c>
      <c r="X29" s="45"/>
      <c r="Y29" s="45"/>
      <c r="Z29" s="45"/>
      <c r="AA29" s="45"/>
      <c r="AB29" s="45"/>
      <c r="AC29" s="45"/>
      <c r="AD29" s="45"/>
      <c r="AE29" s="45"/>
      <c r="AF29" s="45"/>
    </row>
    <row r="30" spans="2:32" x14ac:dyDescent="0.25">
      <c r="B30" t="s">
        <v>32</v>
      </c>
      <c r="C30" s="36">
        <v>0.1</v>
      </c>
      <c r="D30" t="s">
        <v>86</v>
      </c>
      <c r="X30" s="45"/>
      <c r="Y30" s="45"/>
      <c r="Z30" s="45"/>
      <c r="AA30" s="45"/>
      <c r="AB30" s="45"/>
      <c r="AC30" s="45"/>
      <c r="AD30" s="45"/>
      <c r="AE30" s="45"/>
      <c r="AF30" s="45"/>
    </row>
    <row r="31" spans="2:32" x14ac:dyDescent="0.25">
      <c r="B31" t="s">
        <v>33</v>
      </c>
      <c r="C31" s="36">
        <v>0.8</v>
      </c>
      <c r="D31" t="s">
        <v>87</v>
      </c>
      <c r="X31" s="45"/>
      <c r="Y31" s="45"/>
      <c r="Z31" s="45"/>
      <c r="AA31" s="45"/>
      <c r="AB31" s="45"/>
      <c r="AC31" s="45"/>
      <c r="AD31" s="45"/>
      <c r="AE31" s="45"/>
      <c r="AF31" s="45"/>
    </row>
    <row r="32" spans="2:32" x14ac:dyDescent="0.25">
      <c r="B32" t="s">
        <v>34</v>
      </c>
      <c r="C32">
        <v>2.5</v>
      </c>
      <c r="D32" t="s">
        <v>88</v>
      </c>
      <c r="X32" s="45"/>
      <c r="Y32" s="45"/>
      <c r="Z32" s="45"/>
      <c r="AA32" s="45"/>
      <c r="AB32" s="45"/>
      <c r="AC32" s="45"/>
      <c r="AD32" s="45"/>
      <c r="AE32" s="45"/>
      <c r="AF32" s="45"/>
    </row>
    <row r="33" spans="2:32" x14ac:dyDescent="0.25">
      <c r="B33" t="s">
        <v>89</v>
      </c>
      <c r="C33">
        <f>C28*C30</f>
        <v>6</v>
      </c>
      <c r="D33" t="s">
        <v>280</v>
      </c>
      <c r="X33" s="45"/>
      <c r="Y33" s="45"/>
      <c r="Z33" s="45"/>
      <c r="AA33" s="45"/>
      <c r="AB33" s="45"/>
      <c r="AC33" s="45"/>
      <c r="AD33" s="45"/>
      <c r="AE33" s="45"/>
      <c r="AF33" s="45"/>
    </row>
    <row r="34" spans="2:32" x14ac:dyDescent="0.25">
      <c r="X34" s="45"/>
      <c r="Y34" s="45"/>
      <c r="Z34" s="45"/>
      <c r="AA34" s="45"/>
      <c r="AB34" s="45"/>
      <c r="AC34" s="45"/>
      <c r="AD34" s="45"/>
      <c r="AE34" s="45"/>
      <c r="AF34" s="45"/>
    </row>
    <row r="35" spans="2:32" x14ac:dyDescent="0.25">
      <c r="B35" s="97" t="s">
        <v>248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7" spans="2:32" x14ac:dyDescent="0.25">
      <c r="B37" s="98" t="s">
        <v>0</v>
      </c>
      <c r="C37" s="98" t="s">
        <v>90</v>
      </c>
      <c r="D37" s="100" t="s">
        <v>91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32" x14ac:dyDescent="0.25">
      <c r="B38" s="99"/>
      <c r="C38" s="99"/>
      <c r="D38" s="37" t="s">
        <v>51</v>
      </c>
      <c r="E38" s="37" t="s">
        <v>52</v>
      </c>
      <c r="F38" s="37" t="s">
        <v>92</v>
      </c>
      <c r="G38" s="37" t="s">
        <v>93</v>
      </c>
      <c r="H38" s="37" t="s">
        <v>55</v>
      </c>
      <c r="I38" s="37" t="s">
        <v>94</v>
      </c>
      <c r="J38" s="37" t="s">
        <v>95</v>
      </c>
      <c r="K38" s="37" t="s">
        <v>58</v>
      </c>
      <c r="L38" s="37" t="s">
        <v>96</v>
      </c>
      <c r="M38" s="37" t="s">
        <v>60</v>
      </c>
      <c r="N38" s="37" t="s">
        <v>61</v>
      </c>
      <c r="O38" s="37" t="s">
        <v>62</v>
      </c>
    </row>
    <row r="39" spans="2:32" x14ac:dyDescent="0.25">
      <c r="B39" s="2" t="s">
        <v>21</v>
      </c>
      <c r="C39" s="39">
        <f>'PE Growth'!G4</f>
        <v>109</v>
      </c>
      <c r="D39" s="40">
        <f>$C$33*$C39/(24*60*448)</f>
        <v>1.013764880952381E-3</v>
      </c>
      <c r="E39" s="40">
        <f t="shared" ref="E39:F45" si="5">$C$33*$C39/(24*60*448)</f>
        <v>1.013764880952381E-3</v>
      </c>
      <c r="F39" s="40">
        <f t="shared" si="5"/>
        <v>1.013764880952381E-3</v>
      </c>
      <c r="G39" s="40">
        <f>$C$33*$C39/(24*60*448)+($C$29*$C39*WAIG!F$17/(30*24*60*448))</f>
        <v>3.8052373242327839E-2</v>
      </c>
      <c r="H39" s="40">
        <f>$C$33*$C39/(24*60*448)+($C$29*$C39*WAIG!G$17/(30*24*60*448))</f>
        <v>0.10367512501302567</v>
      </c>
      <c r="I39" s="40">
        <f>$C$33*$C39/(24*60*448)+($C$29*$C39*WAIG!H$17/(30*24*60*448))</f>
        <v>0.13628520411380191</v>
      </c>
      <c r="J39" s="40">
        <f>$C$33*$C39/(24*60*448)+($C$29*$C39*WAIG!I$17/(30*24*60*448))</f>
        <v>0.20593389157595357</v>
      </c>
      <c r="K39" s="40">
        <f>$C$33*$C39/(24*60*448)+($C$29*$C39*WAIG!J$17/(30*24*60*448))</f>
        <v>0.14594744977329116</v>
      </c>
      <c r="L39" s="40">
        <f>$C$33*$C39/(24*60*448)+($C$29*$C39*WAIG!K$17/(30*24*60*448))</f>
        <v>8.5155820832337928E-2</v>
      </c>
      <c r="M39" s="40">
        <f t="shared" ref="M39:O45" si="6">$C$33*$C39/(24*60*448)</f>
        <v>1.013764880952381E-3</v>
      </c>
      <c r="N39" s="40">
        <f t="shared" si="6"/>
        <v>1.013764880952381E-3</v>
      </c>
      <c r="O39" s="40">
        <f t="shared" si="6"/>
        <v>1.013764880952381E-3</v>
      </c>
    </row>
    <row r="40" spans="2:32" x14ac:dyDescent="0.25">
      <c r="B40" s="2" t="s">
        <v>22</v>
      </c>
      <c r="C40" s="39">
        <f>'PE Growth'!G5</f>
        <v>102</v>
      </c>
      <c r="D40" s="40">
        <f t="shared" ref="D40:D45" si="7">$C$33*$C40/(24*60*448)</f>
        <v>9.4866071428571428E-4</v>
      </c>
      <c r="E40" s="40">
        <f t="shared" si="5"/>
        <v>9.4866071428571428E-4</v>
      </c>
      <c r="F40" s="40">
        <f t="shared" si="5"/>
        <v>9.4866071428571428E-4</v>
      </c>
      <c r="G40" s="40">
        <f>$C$33*$C40/(24*60*448)+($C$29*$C40*WAIG!F$17/(30*24*60*448))</f>
        <v>3.5608642850618717E-2</v>
      </c>
      <c r="H40" s="40">
        <f>$C$33*$C40/(24*60*448)+($C$29*$C40*WAIG!G$17/(30*24*60*448))</f>
        <v>9.701708946173046E-2</v>
      </c>
      <c r="I40" s="40">
        <f>$C$33*$C40/(24*60*448)+($C$29*$C40*WAIG!H$17/(30*24*60*448))</f>
        <v>0.12753294329915404</v>
      </c>
      <c r="J40" s="40">
        <f>$C$33*$C40/(24*60*448)+($C$29*$C40*WAIG!I$17/(30*24*60*448))</f>
        <v>0.19270877927291066</v>
      </c>
      <c r="K40" s="40">
        <f>$C$33*$C40/(24*60*448)+($C$29*$C40*WAIG!J$17/(30*24*60*448))</f>
        <v>0.1365746777695018</v>
      </c>
      <c r="L40" s="40">
        <f>$C$33*$C40/(24*60*448)+($C$29*$C40*WAIG!K$17/(30*24*60*448))</f>
        <v>7.9687098393563957E-2</v>
      </c>
      <c r="M40" s="40">
        <f t="shared" si="6"/>
        <v>9.4866071428571428E-4</v>
      </c>
      <c r="N40" s="40">
        <f t="shared" si="6"/>
        <v>9.4866071428571428E-4</v>
      </c>
      <c r="O40" s="40">
        <f t="shared" si="6"/>
        <v>9.4866071428571428E-4</v>
      </c>
    </row>
    <row r="41" spans="2:32" x14ac:dyDescent="0.25">
      <c r="B41" s="2" t="s">
        <v>23</v>
      </c>
      <c r="C41" s="39">
        <f>'PE Growth'!G6</f>
        <v>52</v>
      </c>
      <c r="D41" s="40">
        <f t="shared" si="7"/>
        <v>4.836309523809524E-4</v>
      </c>
      <c r="E41" s="40">
        <f t="shared" si="5"/>
        <v>4.836309523809524E-4</v>
      </c>
      <c r="F41" s="40">
        <f t="shared" si="5"/>
        <v>4.836309523809524E-4</v>
      </c>
      <c r="G41" s="40">
        <f>$C$33*$C41/(24*60*448)+($C$29*$C41*WAIG!F$17/(30*24*60*448))</f>
        <v>1.815342576698209E-2</v>
      </c>
      <c r="H41" s="40">
        <f>$C$33*$C41/(24*60*448)+($C$29*$C41*WAIG!G$17/(30*24*60*448))</f>
        <v>4.9459692666764539E-2</v>
      </c>
      <c r="I41" s="40">
        <f>$C$33*$C41/(24*60*448)+($C$29*$C41*WAIG!H$17/(30*24*60*448))</f>
        <v>6.5016794623098145E-2</v>
      </c>
      <c r="J41" s="40">
        <f>$C$33*$C41/(24*60*448)+($C$29*$C41*WAIG!I$17/(30*24*60*448))</f>
        <v>9.8243691394032898E-2</v>
      </c>
      <c r="K41" s="40">
        <f>$C$33*$C41/(24*60*448)+($C$29*$C41*WAIG!J$17/(30*24*60*448))</f>
        <v>6.962630631386367E-2</v>
      </c>
      <c r="L41" s="40">
        <f>$C$33*$C41/(24*60*448)+($C$29*$C41*WAIG!K$17/(30*24*60*448))</f>
        <v>4.0624795259463962E-2</v>
      </c>
      <c r="M41" s="40">
        <f t="shared" si="6"/>
        <v>4.836309523809524E-4</v>
      </c>
      <c r="N41" s="40">
        <f t="shared" si="6"/>
        <v>4.836309523809524E-4</v>
      </c>
      <c r="O41" s="40">
        <f t="shared" si="6"/>
        <v>4.836309523809524E-4</v>
      </c>
    </row>
    <row r="42" spans="2:32" x14ac:dyDescent="0.25">
      <c r="B42" s="2" t="s">
        <v>24</v>
      </c>
      <c r="C42" s="39">
        <f>'PE Growth'!G7</f>
        <v>81</v>
      </c>
      <c r="D42" s="40">
        <f t="shared" si="7"/>
        <v>7.5334821428571432E-4</v>
      </c>
      <c r="E42" s="40">
        <f t="shared" si="5"/>
        <v>7.5334821428571432E-4</v>
      </c>
      <c r="F42" s="40">
        <f t="shared" si="5"/>
        <v>7.5334821428571432E-4</v>
      </c>
      <c r="G42" s="40">
        <f>$C$33*$C42/(24*60*448)+($C$29*$C42*WAIG!F$17/(30*24*60*448))</f>
        <v>2.8277451675491339E-2</v>
      </c>
      <c r="H42" s="40">
        <f>$C$33*$C42/(24*60*448)+($C$29*$C42*WAIG!G$17/(30*24*60*448))</f>
        <v>7.7042982807844773E-2</v>
      </c>
      <c r="I42" s="40">
        <f>$C$33*$C42/(24*60*448)+($C$29*$C42*WAIG!H$17/(30*24*60*448))</f>
        <v>0.1012761608552106</v>
      </c>
      <c r="J42" s="40">
        <f>$C$33*$C42/(24*60*448)+($C$29*$C42*WAIG!I$17/(30*24*60*448))</f>
        <v>0.15303344236378202</v>
      </c>
      <c r="K42" s="40">
        <f>$C$33*$C42/(24*60*448)+($C$29*$C42*WAIG!J$17/(30*24*60*448))</f>
        <v>0.10845636175813381</v>
      </c>
      <c r="L42" s="40">
        <f>$C$33*$C42/(24*60*448)+($C$29*$C42*WAIG!K$17/(30*24*60*448))</f>
        <v>6.3280931077241961E-2</v>
      </c>
      <c r="M42" s="40">
        <f t="shared" si="6"/>
        <v>7.5334821428571432E-4</v>
      </c>
      <c r="N42" s="40">
        <f t="shared" si="6"/>
        <v>7.5334821428571432E-4</v>
      </c>
      <c r="O42" s="40">
        <f t="shared" si="6"/>
        <v>7.5334821428571432E-4</v>
      </c>
    </row>
    <row r="43" spans="2:32" x14ac:dyDescent="0.25">
      <c r="B43" s="2" t="s">
        <v>25</v>
      </c>
      <c r="C43" s="39">
        <f>'PE Growth'!G8</f>
        <v>167</v>
      </c>
      <c r="D43" s="40">
        <f t="shared" si="7"/>
        <v>1.5531994047619047E-3</v>
      </c>
      <c r="E43" s="40">
        <f t="shared" si="5"/>
        <v>1.5531994047619047E-3</v>
      </c>
      <c r="F43" s="40">
        <f t="shared" si="5"/>
        <v>1.5531994047619047E-3</v>
      </c>
      <c r="G43" s="40">
        <f>$C$33*$C43/(24*60*448)+($C$29*$C43*WAIG!F$17/(30*24*60*448))</f>
        <v>5.8300425059346329E-2</v>
      </c>
      <c r="H43" s="40">
        <f>$C$33*$C43/(24*60*448)+($C$29*$C43*WAIG!G$17/(30*24*60*448))</f>
        <v>0.1588417052951861</v>
      </c>
      <c r="I43" s="40">
        <f>$C$33*$C43/(24*60*448)+($C$29*$C43*WAIG!H$17/(30*24*60*448))</f>
        <v>0.20880393657802673</v>
      </c>
      <c r="J43" s="40">
        <f>$C$33*$C43/(24*60*448)+($C$29*$C43*WAIG!I$17/(30*24*60*448))</f>
        <v>0.31551339351545177</v>
      </c>
      <c r="K43" s="40">
        <f>$C$33*$C43/(24*60*448)+($C$29*$C43*WAIG!J$17/(30*24*60*448))</f>
        <v>0.22360756066183138</v>
      </c>
      <c r="L43" s="40">
        <f>$C$33*$C43/(24*60*448)+($C$29*$C43*WAIG!K$17/(30*24*60*448))</f>
        <v>0.1304680924678939</v>
      </c>
      <c r="M43" s="40">
        <f t="shared" si="6"/>
        <v>1.5531994047619047E-3</v>
      </c>
      <c r="N43" s="40">
        <f t="shared" si="6"/>
        <v>1.5531994047619047E-3</v>
      </c>
      <c r="O43" s="40">
        <f t="shared" si="6"/>
        <v>1.5531994047619047E-3</v>
      </c>
    </row>
    <row r="44" spans="2:32" x14ac:dyDescent="0.25">
      <c r="B44" s="2" t="s">
        <v>26</v>
      </c>
      <c r="C44" s="39">
        <f>'PE Growth'!G9</f>
        <v>165</v>
      </c>
      <c r="D44" s="40">
        <f t="shared" si="7"/>
        <v>1.5345982142857143E-3</v>
      </c>
      <c r="E44" s="40">
        <f t="shared" si="5"/>
        <v>1.5345982142857143E-3</v>
      </c>
      <c r="F44" s="40">
        <f t="shared" si="5"/>
        <v>1.5345982142857143E-3</v>
      </c>
      <c r="G44" s="40">
        <f>$C$33*$C44/(24*60*448)+($C$29*$C44*WAIG!F$17/(30*24*60*448))</f>
        <v>5.7602216376000867E-2</v>
      </c>
      <c r="H44" s="40">
        <f>$C$33*$C44/(24*60*448)+($C$29*$C44*WAIG!G$17/(30*24*60*448))</f>
        <v>0.15693940942338749</v>
      </c>
      <c r="I44" s="40">
        <f>$C$33*$C44/(24*60*448)+($C$29*$C44*WAIG!H$17/(30*24*60*448))</f>
        <v>0.20630329063098451</v>
      </c>
      <c r="J44" s="40">
        <f>$C$33*$C44/(24*60*448)+($C$29*$C44*WAIG!I$17/(30*24*60*448))</f>
        <v>0.31173479000029669</v>
      </c>
      <c r="K44" s="40">
        <f>$C$33*$C44/(24*60*448)+($C$29*$C44*WAIG!J$17/(30*24*60*448))</f>
        <v>0.22092962580360589</v>
      </c>
      <c r="L44" s="40">
        <f>$C$33*$C44/(24*60*448)+($C$29*$C44*WAIG!K$17/(30*24*60*448))</f>
        <v>0.12890560034252993</v>
      </c>
      <c r="M44" s="40">
        <f t="shared" si="6"/>
        <v>1.5345982142857143E-3</v>
      </c>
      <c r="N44" s="40">
        <f t="shared" si="6"/>
        <v>1.5345982142857143E-3</v>
      </c>
      <c r="O44" s="40">
        <f t="shared" si="6"/>
        <v>1.5345982142857143E-3</v>
      </c>
    </row>
    <row r="45" spans="2:32" x14ac:dyDescent="0.25">
      <c r="B45" s="2" t="s">
        <v>27</v>
      </c>
      <c r="C45" s="39">
        <f>'PE Growth'!G10</f>
        <v>12</v>
      </c>
      <c r="D45" s="40">
        <f t="shared" si="7"/>
        <v>1.1160714285714285E-4</v>
      </c>
      <c r="E45" s="40">
        <f t="shared" si="5"/>
        <v>1.1160714285714285E-4</v>
      </c>
      <c r="F45" s="40">
        <f t="shared" si="5"/>
        <v>1.1160714285714285E-4</v>
      </c>
      <c r="G45" s="40">
        <f>$C$33*$C45/(24*60*448)+($C$29*$C45*WAIG!F$17/(30*24*60*448))</f>
        <v>4.1892521000727904E-3</v>
      </c>
      <c r="H45" s="40">
        <f>$C$33*$C45/(24*60*448)+($C$29*$C45*WAIG!G$17/(30*24*60*448))</f>
        <v>1.1413775230791815E-2</v>
      </c>
      <c r="I45" s="40">
        <f>$C$33*$C45/(24*60*448)+($C$29*$C45*WAIG!H$17/(30*24*60*448))</f>
        <v>1.5003875682253417E-2</v>
      </c>
      <c r="J45" s="40">
        <f>$C$33*$C45/(24*60*448)+($C$29*$C45*WAIG!I$17/(30*24*60*448))</f>
        <v>2.2671621090930669E-2</v>
      </c>
      <c r="K45" s="40">
        <f>$C$33*$C45/(24*60*448)+($C$29*$C45*WAIG!J$17/(30*24*60*448))</f>
        <v>1.6067609149353151E-2</v>
      </c>
      <c r="L45" s="40">
        <f>$C$33*$C45/(24*60*448)+($C$29*$C45*WAIG!K$17/(30*24*60*448))</f>
        <v>9.3749527521839928E-3</v>
      </c>
      <c r="M45" s="40">
        <f t="shared" si="6"/>
        <v>1.1160714285714285E-4</v>
      </c>
      <c r="N45" s="40">
        <f t="shared" si="6"/>
        <v>1.1160714285714285E-4</v>
      </c>
      <c r="O45" s="40">
        <f t="shared" si="6"/>
        <v>1.1160714285714285E-4</v>
      </c>
    </row>
    <row r="46" spans="2:32" x14ac:dyDescent="0.25">
      <c r="B46" s="2" t="s">
        <v>6</v>
      </c>
      <c r="C46" s="43">
        <f>SUM(C39:C44)</f>
        <v>676</v>
      </c>
      <c r="D46" s="44">
        <f t="shared" ref="D46:O46" si="8">SUM(D39:D44)</f>
        <v>6.2872023809523803E-3</v>
      </c>
      <c r="E46" s="44">
        <f t="shared" si="8"/>
        <v>6.2872023809523803E-3</v>
      </c>
      <c r="F46" s="44">
        <f t="shared" si="8"/>
        <v>6.2872023809523803E-3</v>
      </c>
      <c r="G46" s="44">
        <f t="shared" si="8"/>
        <v>0.23599453497076717</v>
      </c>
      <c r="H46" s="44">
        <f t="shared" si="8"/>
        <v>0.64297600466793903</v>
      </c>
      <c r="I46" s="44">
        <f t="shared" si="8"/>
        <v>0.84521833010027603</v>
      </c>
      <c r="J46" s="44">
        <f t="shared" si="8"/>
        <v>1.2771679881224276</v>
      </c>
      <c r="K46" s="44">
        <f t="shared" si="8"/>
        <v>0.90514198208022767</v>
      </c>
      <c r="L46" s="44">
        <f t="shared" si="8"/>
        <v>0.52812233837303169</v>
      </c>
      <c r="M46" s="44">
        <f t="shared" si="8"/>
        <v>6.2872023809523803E-3</v>
      </c>
      <c r="N46" s="44">
        <f t="shared" si="8"/>
        <v>6.2872023809523803E-3</v>
      </c>
      <c r="O46" s="44">
        <f t="shared" si="8"/>
        <v>6.2872023809523803E-3</v>
      </c>
    </row>
    <row r="47" spans="2:32" x14ac:dyDescent="0.25">
      <c r="G47" t="s">
        <v>279</v>
      </c>
    </row>
  </sheetData>
  <mergeCells count="11">
    <mergeCell ref="AD15:AF15"/>
    <mergeCell ref="B35:O35"/>
    <mergeCell ref="B37:B38"/>
    <mergeCell ref="C37:C38"/>
    <mergeCell ref="D37:O37"/>
    <mergeCell ref="AA15:AC15"/>
    <mergeCell ref="B12:O12"/>
    <mergeCell ref="B14:B15"/>
    <mergeCell ref="C14:C15"/>
    <mergeCell ref="D14:O14"/>
    <mergeCell ref="X15:Z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R15" sqref="R15"/>
    </sheetView>
  </sheetViews>
  <sheetFormatPr defaultRowHeight="15" x14ac:dyDescent="0.25"/>
  <cols>
    <col min="1" max="1" width="21.5703125" customWidth="1"/>
    <col min="2" max="2" width="17.85546875" customWidth="1"/>
    <col min="3" max="3" width="16.5703125" customWidth="1"/>
    <col min="4" max="4" width="15.140625" customWidth="1"/>
    <col min="5" max="5" width="18.28515625" customWidth="1"/>
    <col min="17" max="17" width="13.28515625" customWidth="1"/>
    <col min="18" max="18" width="16.140625" customWidth="1"/>
  </cols>
  <sheetData>
    <row r="1" spans="1:18" ht="15.75" thickTop="1" x14ac:dyDescent="0.25">
      <c r="A1" s="17" t="s">
        <v>47</v>
      </c>
      <c r="B1" s="18"/>
      <c r="C1" s="18"/>
      <c r="D1" s="18"/>
      <c r="E1" s="18"/>
      <c r="F1" s="18"/>
      <c r="G1" s="19"/>
      <c r="H1" s="20"/>
      <c r="I1" s="20"/>
      <c r="J1" s="20"/>
      <c r="K1" s="20"/>
      <c r="L1" s="20"/>
      <c r="M1" s="20"/>
      <c r="N1" s="20"/>
      <c r="O1" s="20"/>
      <c r="P1" s="20"/>
    </row>
    <row r="2" spans="1:18" ht="15.75" thickBot="1" x14ac:dyDescent="0.3">
      <c r="A2" s="21" t="s">
        <v>48</v>
      </c>
      <c r="B2" s="22"/>
      <c r="C2" s="22"/>
      <c r="D2" s="22"/>
      <c r="E2" s="22"/>
      <c r="F2" s="22"/>
      <c r="G2" s="23"/>
      <c r="H2" s="20"/>
      <c r="I2" s="20"/>
      <c r="J2" s="20"/>
      <c r="K2" s="20"/>
      <c r="L2" s="20"/>
      <c r="M2" s="20"/>
      <c r="N2" s="20"/>
      <c r="O2" s="20"/>
      <c r="P2" s="20"/>
    </row>
    <row r="3" spans="1:18" ht="15.75" thickTop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8" ht="46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8" ht="21.75" customHeight="1" x14ac:dyDescent="0.25">
      <c r="A6" s="102"/>
      <c r="B6" s="103"/>
      <c r="C6" s="103" t="s">
        <v>49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O6" s="102"/>
      <c r="P6" s="104"/>
    </row>
    <row r="7" spans="1:18" ht="18.75" customHeight="1" x14ac:dyDescent="0.25">
      <c r="A7" s="24" t="s">
        <v>0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6" t="s">
        <v>62</v>
      </c>
      <c r="O7" s="24" t="s">
        <v>63</v>
      </c>
      <c r="P7" s="27" t="s">
        <v>64</v>
      </c>
      <c r="Q7" s="69" t="s">
        <v>252</v>
      </c>
      <c r="R7" s="69" t="s">
        <v>251</v>
      </c>
    </row>
    <row r="8" spans="1:18" x14ac:dyDescent="0.25">
      <c r="A8" s="28" t="s">
        <v>21</v>
      </c>
      <c r="B8" s="28" t="s">
        <v>65</v>
      </c>
      <c r="C8" s="29">
        <v>0</v>
      </c>
      <c r="D8" s="29">
        <v>0</v>
      </c>
      <c r="E8" s="29">
        <v>0</v>
      </c>
      <c r="F8" s="29">
        <v>0.92</v>
      </c>
      <c r="G8" s="29">
        <v>2.5499999999999998</v>
      </c>
      <c r="H8" s="29">
        <v>3.36</v>
      </c>
      <c r="I8" s="29">
        <v>5.09</v>
      </c>
      <c r="J8" s="29">
        <v>3.6</v>
      </c>
      <c r="K8" s="29">
        <v>2.09</v>
      </c>
      <c r="L8" s="29">
        <v>0</v>
      </c>
      <c r="M8" s="29">
        <v>0</v>
      </c>
      <c r="N8" s="29">
        <v>0</v>
      </c>
      <c r="O8" s="30">
        <f>SUM(C8:N8)</f>
        <v>17.61</v>
      </c>
      <c r="P8" s="31">
        <f>O8/365</f>
        <v>4.824657534246575E-2</v>
      </c>
      <c r="Q8" s="9">
        <v>109</v>
      </c>
      <c r="R8" s="40">
        <f>Q8/688*O8</f>
        <v>2.7899563953488373</v>
      </c>
    </row>
    <row r="9" spans="1:18" x14ac:dyDescent="0.25">
      <c r="A9" s="32" t="s">
        <v>22</v>
      </c>
      <c r="B9" s="28" t="s">
        <v>65</v>
      </c>
      <c r="C9" s="29">
        <v>0</v>
      </c>
      <c r="D9" s="29">
        <v>0</v>
      </c>
      <c r="E9" s="29">
        <v>0</v>
      </c>
      <c r="F9" s="29">
        <v>0.92</v>
      </c>
      <c r="G9" s="29">
        <v>2.5499999999999998</v>
      </c>
      <c r="H9" s="29">
        <v>3.36</v>
      </c>
      <c r="I9" s="29">
        <v>5.09</v>
      </c>
      <c r="J9" s="29">
        <v>3.6</v>
      </c>
      <c r="K9" s="29">
        <v>2.09</v>
      </c>
      <c r="L9" s="29">
        <v>0</v>
      </c>
      <c r="M9" s="29">
        <v>0</v>
      </c>
      <c r="N9" s="29">
        <v>0</v>
      </c>
      <c r="O9" s="30">
        <f t="shared" ref="O9:O14" si="0">SUM(C9:N9)</f>
        <v>17.61</v>
      </c>
      <c r="P9" s="31">
        <f t="shared" ref="P9:P15" si="1">O9/365</f>
        <v>4.824657534246575E-2</v>
      </c>
      <c r="Q9" s="9">
        <v>102</v>
      </c>
      <c r="R9" s="40">
        <f t="shared" ref="R9:R14" si="2">Q9/688*O9</f>
        <v>2.6107848837209304</v>
      </c>
    </row>
    <row r="10" spans="1:18" x14ac:dyDescent="0.25">
      <c r="A10" s="32" t="s">
        <v>23</v>
      </c>
      <c r="B10" s="28" t="s">
        <v>65</v>
      </c>
      <c r="C10" s="29">
        <v>0</v>
      </c>
      <c r="D10" s="29">
        <v>0</v>
      </c>
      <c r="E10" s="29">
        <v>0</v>
      </c>
      <c r="F10" s="29">
        <v>0.92</v>
      </c>
      <c r="G10" s="29">
        <v>2.5499999999999998</v>
      </c>
      <c r="H10" s="29">
        <v>3.36</v>
      </c>
      <c r="I10" s="29">
        <v>5.09</v>
      </c>
      <c r="J10" s="29">
        <v>3.6</v>
      </c>
      <c r="K10" s="29">
        <v>2.09</v>
      </c>
      <c r="L10" s="29">
        <v>0</v>
      </c>
      <c r="M10" s="29">
        <v>0</v>
      </c>
      <c r="N10" s="29">
        <v>0</v>
      </c>
      <c r="O10" s="30">
        <f t="shared" si="0"/>
        <v>17.61</v>
      </c>
      <c r="P10" s="31">
        <f t="shared" si="1"/>
        <v>4.824657534246575E-2</v>
      </c>
      <c r="Q10" s="9">
        <v>52</v>
      </c>
      <c r="R10" s="40">
        <f t="shared" si="2"/>
        <v>1.3309883720930231</v>
      </c>
    </row>
    <row r="11" spans="1:18" x14ac:dyDescent="0.25">
      <c r="A11" s="32" t="s">
        <v>24</v>
      </c>
      <c r="B11" s="28" t="s">
        <v>66</v>
      </c>
      <c r="C11" s="29">
        <v>0</v>
      </c>
      <c r="D11" s="29">
        <v>0</v>
      </c>
      <c r="E11" s="29">
        <v>0</v>
      </c>
      <c r="F11" s="29">
        <v>0.28000000000000003</v>
      </c>
      <c r="G11" s="29">
        <v>1.64</v>
      </c>
      <c r="H11" s="29">
        <v>2.3199999999999998</v>
      </c>
      <c r="I11" s="29">
        <v>4.6100000000000003</v>
      </c>
      <c r="J11" s="29">
        <v>3.15</v>
      </c>
      <c r="K11" s="29">
        <v>1.5</v>
      </c>
      <c r="L11" s="29">
        <v>0</v>
      </c>
      <c r="M11" s="29">
        <v>0</v>
      </c>
      <c r="N11" s="29">
        <v>0</v>
      </c>
      <c r="O11" s="33">
        <f t="shared" si="0"/>
        <v>13.500000000000002</v>
      </c>
      <c r="P11" s="31">
        <f t="shared" si="1"/>
        <v>3.6986301369863021E-2</v>
      </c>
      <c r="Q11" s="9">
        <v>81</v>
      </c>
      <c r="R11" s="40">
        <f t="shared" si="2"/>
        <v>1.5893895348837213</v>
      </c>
    </row>
    <row r="12" spans="1:18" x14ac:dyDescent="0.25">
      <c r="A12" s="32" t="s">
        <v>25</v>
      </c>
      <c r="B12" s="28" t="s">
        <v>67</v>
      </c>
      <c r="C12" s="29">
        <v>0</v>
      </c>
      <c r="D12" s="29">
        <v>0</v>
      </c>
      <c r="E12" s="29">
        <v>0</v>
      </c>
      <c r="F12" s="29">
        <v>0.28000000000000003</v>
      </c>
      <c r="G12" s="29">
        <v>1.64</v>
      </c>
      <c r="H12" s="29">
        <v>2.3199999999999998</v>
      </c>
      <c r="I12" s="29">
        <v>4.6100000000000003</v>
      </c>
      <c r="J12" s="29">
        <v>3.15</v>
      </c>
      <c r="K12" s="29">
        <v>1.5</v>
      </c>
      <c r="L12" s="29">
        <v>0</v>
      </c>
      <c r="M12" s="29">
        <v>0</v>
      </c>
      <c r="N12" s="29">
        <v>0</v>
      </c>
      <c r="O12" s="33">
        <f t="shared" si="0"/>
        <v>13.500000000000002</v>
      </c>
      <c r="P12" s="31">
        <f t="shared" si="1"/>
        <v>3.6986301369863021E-2</v>
      </c>
      <c r="Q12" s="9">
        <v>167</v>
      </c>
      <c r="R12" s="40">
        <f t="shared" si="2"/>
        <v>3.276889534883721</v>
      </c>
    </row>
    <row r="13" spans="1:18" x14ac:dyDescent="0.25">
      <c r="A13" s="32" t="s">
        <v>26</v>
      </c>
      <c r="B13" s="28" t="s">
        <v>65</v>
      </c>
      <c r="C13" s="29">
        <v>0</v>
      </c>
      <c r="D13" s="29">
        <v>0</v>
      </c>
      <c r="E13" s="29">
        <v>0</v>
      </c>
      <c r="F13" s="29">
        <v>0.92</v>
      </c>
      <c r="G13" s="29">
        <v>2.5499999999999998</v>
      </c>
      <c r="H13" s="29">
        <v>3.36</v>
      </c>
      <c r="I13" s="29">
        <v>5.09</v>
      </c>
      <c r="J13" s="29">
        <v>3.6</v>
      </c>
      <c r="K13" s="29">
        <v>2.09</v>
      </c>
      <c r="L13" s="29">
        <v>0</v>
      </c>
      <c r="M13" s="29">
        <v>0</v>
      </c>
      <c r="N13" s="29">
        <v>0</v>
      </c>
      <c r="O13" s="30">
        <f t="shared" si="0"/>
        <v>17.61</v>
      </c>
      <c r="P13" s="31">
        <f t="shared" si="1"/>
        <v>4.824657534246575E-2</v>
      </c>
      <c r="Q13" s="9">
        <v>165</v>
      </c>
      <c r="R13" s="40">
        <f t="shared" si="2"/>
        <v>4.2233284883720934</v>
      </c>
    </row>
    <row r="14" spans="1:18" x14ac:dyDescent="0.25">
      <c r="A14" s="32" t="s">
        <v>27</v>
      </c>
      <c r="B14" s="28" t="s">
        <v>67</v>
      </c>
      <c r="C14" s="29">
        <v>0</v>
      </c>
      <c r="D14" s="29">
        <v>0</v>
      </c>
      <c r="E14" s="29">
        <v>0</v>
      </c>
      <c r="F14" s="29">
        <v>0.28000000000000003</v>
      </c>
      <c r="G14" s="29">
        <v>1.64</v>
      </c>
      <c r="H14" s="29">
        <v>2.3199999999999998</v>
      </c>
      <c r="I14" s="29">
        <v>4.6100000000000003</v>
      </c>
      <c r="J14" s="29">
        <v>3.15</v>
      </c>
      <c r="K14" s="29">
        <v>1.5</v>
      </c>
      <c r="L14" s="29">
        <v>0</v>
      </c>
      <c r="M14" s="29">
        <v>0</v>
      </c>
      <c r="N14" s="29">
        <v>0</v>
      </c>
      <c r="O14" s="33">
        <f t="shared" si="0"/>
        <v>13.500000000000002</v>
      </c>
      <c r="P14" s="31">
        <f t="shared" si="1"/>
        <v>3.6986301369863021E-2</v>
      </c>
      <c r="Q14" s="9">
        <v>12</v>
      </c>
      <c r="R14" s="40">
        <f t="shared" si="2"/>
        <v>0.2354651162790698</v>
      </c>
    </row>
    <row r="15" spans="1:18" x14ac:dyDescent="0.25">
      <c r="A15" s="66" t="s">
        <v>75</v>
      </c>
      <c r="O15" s="67">
        <f>AVERAGE(O8:O14)</f>
        <v>15.848571428571429</v>
      </c>
      <c r="P15" s="68">
        <f t="shared" si="1"/>
        <v>4.3420743639921724E-2</v>
      </c>
      <c r="R15" s="79">
        <f>SUM(R8:R14)</f>
        <v>16.056802325581398</v>
      </c>
    </row>
    <row r="17" spans="1:11" x14ac:dyDescent="0.25">
      <c r="A17" s="77" t="s">
        <v>277</v>
      </c>
      <c r="F17" s="78">
        <f>F8/$O$8</f>
        <v>5.2243043725156167E-2</v>
      </c>
      <c r="G17" s="78">
        <f t="shared" ref="G17:K17" si="3">G8/$O$8</f>
        <v>0.14480408858603067</v>
      </c>
      <c r="H17" s="78">
        <f t="shared" si="3"/>
        <v>0.19080068143100512</v>
      </c>
      <c r="I17" s="78">
        <f t="shared" si="3"/>
        <v>0.28904031800113572</v>
      </c>
      <c r="J17" s="78">
        <f t="shared" si="3"/>
        <v>0.20442930153321978</v>
      </c>
      <c r="K17" s="78">
        <f t="shared" si="3"/>
        <v>0.11868256672345258</v>
      </c>
    </row>
  </sheetData>
  <mergeCells count="3">
    <mergeCell ref="A6:B6"/>
    <mergeCell ref="C6:N6"/>
    <mergeCell ref="O6:P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opLeftCell="B11" zoomScale="120" zoomScaleNormal="120" workbookViewId="0">
      <selection activeCell="B35" sqref="B35"/>
    </sheetView>
  </sheetViews>
  <sheetFormatPr defaultRowHeight="15" x14ac:dyDescent="0.25"/>
  <cols>
    <col min="2" max="2" width="27.140625" customWidth="1"/>
    <col min="3" max="3" width="11.5703125" customWidth="1"/>
    <col min="4" max="4" width="11.85546875" customWidth="1"/>
    <col min="5" max="5" width="12.7109375" customWidth="1"/>
    <col min="6" max="6" width="11.140625" customWidth="1"/>
    <col min="7" max="7" width="13.7109375" customWidth="1"/>
    <col min="8" max="8" width="18" customWidth="1"/>
    <col min="9" max="9" width="20.85546875" customWidth="1"/>
    <col min="10" max="10" width="16" customWidth="1"/>
    <col min="11" max="11" width="12.85546875" customWidth="1"/>
  </cols>
  <sheetData>
    <row r="2" spans="2:11" ht="45" x14ac:dyDescent="0.25">
      <c r="B2" s="63" t="s">
        <v>0</v>
      </c>
      <c r="C2" s="105" t="s">
        <v>273</v>
      </c>
      <c r="D2" s="106"/>
      <c r="E2" s="106"/>
      <c r="F2" s="106"/>
      <c r="G2" s="107"/>
      <c r="H2" s="63" t="s">
        <v>271</v>
      </c>
      <c r="I2" s="63" t="s">
        <v>272</v>
      </c>
      <c r="J2" s="108" t="s">
        <v>269</v>
      </c>
      <c r="K2" s="108" t="s">
        <v>270</v>
      </c>
    </row>
    <row r="3" spans="2:11" x14ac:dyDescent="0.25">
      <c r="B3" s="64"/>
      <c r="C3" s="64"/>
      <c r="D3" s="64" t="s">
        <v>4</v>
      </c>
      <c r="E3" s="64"/>
      <c r="F3" s="64" t="s">
        <v>5</v>
      </c>
      <c r="G3" s="64" t="s">
        <v>6</v>
      </c>
      <c r="H3" s="64"/>
      <c r="I3" s="64"/>
      <c r="J3" s="95"/>
      <c r="K3" s="95"/>
    </row>
    <row r="4" spans="2:11" x14ac:dyDescent="0.25">
      <c r="B4" s="2" t="s">
        <v>21</v>
      </c>
      <c r="C4" s="65"/>
      <c r="D4" s="9"/>
      <c r="E4" s="9"/>
      <c r="F4" s="9">
        <v>109</v>
      </c>
      <c r="G4" s="65">
        <f>SUM(D4,F4)</f>
        <v>109</v>
      </c>
      <c r="H4" s="65">
        <v>142</v>
      </c>
      <c r="I4" s="65">
        <v>87</v>
      </c>
      <c r="J4" s="75">
        <f>H4+$D4</f>
        <v>142</v>
      </c>
      <c r="K4" s="75">
        <f>I4+$D4</f>
        <v>87</v>
      </c>
    </row>
    <row r="5" spans="2:11" ht="15.75" customHeight="1" x14ac:dyDescent="0.25">
      <c r="B5" s="2" t="s">
        <v>22</v>
      </c>
      <c r="C5" s="65"/>
      <c r="D5" s="9"/>
      <c r="E5" s="9"/>
      <c r="F5" s="9">
        <v>102</v>
      </c>
      <c r="G5" s="65">
        <f t="shared" ref="G5:G10" si="0">SUM(D5,F5)</f>
        <v>102</v>
      </c>
      <c r="H5" s="65">
        <v>153</v>
      </c>
      <c r="I5" s="65">
        <v>53</v>
      </c>
      <c r="J5" s="75">
        <f t="shared" ref="J5:J10" si="1">H5+$D5</f>
        <v>153</v>
      </c>
      <c r="K5" s="75">
        <f t="shared" ref="K5:K10" si="2">I5+$D5</f>
        <v>53</v>
      </c>
    </row>
    <row r="6" spans="2:11" x14ac:dyDescent="0.25">
      <c r="B6" s="2" t="s">
        <v>23</v>
      </c>
      <c r="C6" s="38"/>
      <c r="D6" s="9"/>
      <c r="E6" s="9"/>
      <c r="F6" s="9">
        <v>52</v>
      </c>
      <c r="G6" s="65">
        <f t="shared" si="0"/>
        <v>52</v>
      </c>
      <c r="H6" s="38">
        <v>67</v>
      </c>
      <c r="I6" s="38">
        <v>42</v>
      </c>
      <c r="J6" s="75">
        <f t="shared" si="1"/>
        <v>67</v>
      </c>
      <c r="K6" s="75">
        <f t="shared" si="2"/>
        <v>42</v>
      </c>
    </row>
    <row r="7" spans="2:11" x14ac:dyDescent="0.25">
      <c r="B7" s="2" t="s">
        <v>24</v>
      </c>
      <c r="C7" s="38"/>
      <c r="D7" s="9">
        <v>81</v>
      </c>
      <c r="E7" s="9"/>
      <c r="F7" s="9"/>
      <c r="G7" s="65">
        <f t="shared" si="0"/>
        <v>81</v>
      </c>
      <c r="H7" s="65"/>
      <c r="I7" s="65"/>
      <c r="J7" s="75">
        <f t="shared" si="1"/>
        <v>81</v>
      </c>
      <c r="K7" s="75">
        <f t="shared" si="2"/>
        <v>81</v>
      </c>
    </row>
    <row r="8" spans="2:11" x14ac:dyDescent="0.25">
      <c r="B8" s="2" t="s">
        <v>25</v>
      </c>
      <c r="C8" s="38"/>
      <c r="D8" s="9"/>
      <c r="E8" s="9"/>
      <c r="F8" s="9">
        <v>167</v>
      </c>
      <c r="G8" s="65">
        <f t="shared" si="0"/>
        <v>167</v>
      </c>
      <c r="H8" s="38">
        <v>229</v>
      </c>
      <c r="I8" s="38">
        <v>122</v>
      </c>
      <c r="J8" s="75">
        <f t="shared" si="1"/>
        <v>229</v>
      </c>
      <c r="K8" s="75">
        <f t="shared" si="2"/>
        <v>122</v>
      </c>
    </row>
    <row r="9" spans="2:11" x14ac:dyDescent="0.25">
      <c r="B9" s="2" t="s">
        <v>26</v>
      </c>
      <c r="C9" s="38"/>
      <c r="D9" s="9"/>
      <c r="E9" s="9"/>
      <c r="F9" s="9">
        <v>165</v>
      </c>
      <c r="G9" s="65">
        <f t="shared" si="0"/>
        <v>165</v>
      </c>
      <c r="H9" s="38">
        <v>242</v>
      </c>
      <c r="I9" s="38">
        <v>104</v>
      </c>
      <c r="J9" s="75">
        <f t="shared" si="1"/>
        <v>242</v>
      </c>
      <c r="K9" s="75">
        <f t="shared" si="2"/>
        <v>104</v>
      </c>
    </row>
    <row r="10" spans="2:11" x14ac:dyDescent="0.25">
      <c r="B10" s="2" t="s">
        <v>27</v>
      </c>
      <c r="C10" s="65"/>
      <c r="D10" s="9"/>
      <c r="E10" s="9"/>
      <c r="F10" s="9">
        <v>12</v>
      </c>
      <c r="G10" s="65">
        <f t="shared" si="0"/>
        <v>12</v>
      </c>
      <c r="H10" s="65">
        <v>4</v>
      </c>
      <c r="I10" s="65">
        <v>20</v>
      </c>
      <c r="J10" s="75">
        <f t="shared" si="1"/>
        <v>4</v>
      </c>
      <c r="K10" s="75">
        <f t="shared" si="2"/>
        <v>20</v>
      </c>
    </row>
    <row r="11" spans="2:11" x14ac:dyDescent="0.25">
      <c r="B11" s="38" t="s">
        <v>6</v>
      </c>
      <c r="C11" s="38"/>
      <c r="D11" s="38">
        <f>SUM(D4:D10)</f>
        <v>81</v>
      </c>
      <c r="E11" s="38"/>
      <c r="F11" s="38">
        <f t="shared" ref="F11:I11" si="3">SUM(F4:F10)</f>
        <v>607</v>
      </c>
      <c r="G11" s="38">
        <f t="shared" si="3"/>
        <v>688</v>
      </c>
      <c r="H11" s="38">
        <f t="shared" si="3"/>
        <v>837</v>
      </c>
      <c r="I11" s="38">
        <f t="shared" si="3"/>
        <v>428</v>
      </c>
      <c r="J11" s="38">
        <f t="shared" ref="J11" si="4">SUM(J4:J10)</f>
        <v>918</v>
      </c>
      <c r="K11" s="38">
        <f t="shared" ref="K11" si="5">SUM(K4:K10)</f>
        <v>509</v>
      </c>
    </row>
    <row r="16" spans="2:11" x14ac:dyDescent="0.25">
      <c r="B16" t="s">
        <v>276</v>
      </c>
    </row>
    <row r="17" spans="2:5" ht="30.75" customHeight="1" x14ac:dyDescent="0.25">
      <c r="C17" s="70" t="s">
        <v>256</v>
      </c>
      <c r="D17" s="71"/>
      <c r="E17" s="71"/>
    </row>
    <row r="18" spans="2:5" ht="48" x14ac:dyDescent="0.25">
      <c r="B18" t="s">
        <v>268</v>
      </c>
      <c r="C18" s="72" t="s">
        <v>257</v>
      </c>
      <c r="D18" s="72" t="s">
        <v>258</v>
      </c>
      <c r="E18" s="72" t="s">
        <v>259</v>
      </c>
    </row>
    <row r="19" spans="2:5" x14ac:dyDescent="0.25">
      <c r="C19" s="73"/>
      <c r="D19" s="73"/>
      <c r="E19" s="73"/>
    </row>
    <row r="20" spans="2:5" x14ac:dyDescent="0.25">
      <c r="C20" s="73"/>
      <c r="D20" s="73"/>
      <c r="E20" s="73"/>
    </row>
    <row r="21" spans="2:5" x14ac:dyDescent="0.25">
      <c r="B21" t="s">
        <v>260</v>
      </c>
      <c r="C21" s="73">
        <v>837.77777777777783</v>
      </c>
      <c r="D21" s="73">
        <v>428.88888888888869</v>
      </c>
      <c r="E21" s="73">
        <v>688</v>
      </c>
    </row>
    <row r="22" spans="2:5" x14ac:dyDescent="0.25">
      <c r="B22" t="s">
        <v>261</v>
      </c>
      <c r="C22" s="73">
        <v>66.666666666666686</v>
      </c>
      <c r="D22" s="73">
        <v>42.222222222222229</v>
      </c>
      <c r="E22" s="73">
        <v>51.578947368421041</v>
      </c>
    </row>
    <row r="23" spans="2:5" x14ac:dyDescent="0.25">
      <c r="B23" t="s">
        <v>262</v>
      </c>
      <c r="C23" s="73">
        <v>142.22222222222217</v>
      </c>
      <c r="D23" s="73">
        <v>86.666666666666629</v>
      </c>
      <c r="E23" s="73">
        <v>109.4736842105263</v>
      </c>
    </row>
    <row r="24" spans="2:5" x14ac:dyDescent="0.25">
      <c r="B24" t="s">
        <v>263</v>
      </c>
      <c r="C24" s="73">
        <v>228.88888888888891</v>
      </c>
      <c r="D24" s="73">
        <v>122.22222222222217</v>
      </c>
      <c r="E24" s="73">
        <v>167.36842105263156</v>
      </c>
    </row>
    <row r="25" spans="2:5" x14ac:dyDescent="0.25">
      <c r="B25" t="s">
        <v>264</v>
      </c>
      <c r="C25" s="73">
        <v>242.22222222222217</v>
      </c>
      <c r="D25" s="73">
        <v>104.44444444444446</v>
      </c>
      <c r="E25" s="73">
        <v>165.26315789473688</v>
      </c>
    </row>
    <row r="26" spans="2:5" x14ac:dyDescent="0.25">
      <c r="B26" t="s">
        <v>265</v>
      </c>
      <c r="C26" s="73">
        <v>4.4444444444444429</v>
      </c>
      <c r="D26" s="73">
        <v>20</v>
      </c>
      <c r="E26" s="73">
        <v>11.578947368421055</v>
      </c>
    </row>
    <row r="27" spans="2:5" x14ac:dyDescent="0.25">
      <c r="B27" t="s">
        <v>266</v>
      </c>
      <c r="C27" s="73">
        <v>0</v>
      </c>
      <c r="D27" s="73">
        <v>0</v>
      </c>
      <c r="E27" s="73">
        <v>81</v>
      </c>
    </row>
    <row r="28" spans="2:5" x14ac:dyDescent="0.25">
      <c r="B28" t="s">
        <v>267</v>
      </c>
      <c r="C28" s="73">
        <v>153.33333333333337</v>
      </c>
      <c r="D28" s="73">
        <v>53.333333333333314</v>
      </c>
      <c r="E28" s="73">
        <v>102.1052631578948</v>
      </c>
    </row>
  </sheetData>
  <mergeCells count="3">
    <mergeCell ref="C2:G2"/>
    <mergeCell ref="J2:J3"/>
    <mergeCell ref="K2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workbookViewId="0">
      <selection activeCell="D12" sqref="D12"/>
    </sheetView>
  </sheetViews>
  <sheetFormatPr defaultRowHeight="15" x14ac:dyDescent="0.25"/>
  <cols>
    <col min="2" max="2" width="33.85546875" customWidth="1"/>
    <col min="3" max="3" width="18" customWidth="1"/>
    <col min="4" max="4" width="18.28515625" customWidth="1"/>
    <col min="5" max="5" width="21.28515625" customWidth="1"/>
    <col min="6" max="6" width="21.7109375" customWidth="1"/>
    <col min="7" max="7" width="25" customWidth="1"/>
  </cols>
  <sheetData>
    <row r="2" spans="2:7" x14ac:dyDescent="0.25">
      <c r="B2" s="3" t="s">
        <v>236</v>
      </c>
    </row>
    <row r="3" spans="2:7" x14ac:dyDescent="0.25">
      <c r="B3" s="3"/>
    </row>
    <row r="4" spans="2:7" ht="30" x14ac:dyDescent="0.25">
      <c r="B4" s="34"/>
      <c r="C4" s="38" t="s">
        <v>241</v>
      </c>
      <c r="D4" s="38" t="s">
        <v>242</v>
      </c>
      <c r="E4" s="38" t="s">
        <v>232</v>
      </c>
      <c r="F4" s="38" t="s">
        <v>239</v>
      </c>
      <c r="G4" s="38" t="s">
        <v>240</v>
      </c>
    </row>
    <row r="5" spans="2:7" ht="30" x14ac:dyDescent="0.25">
      <c r="B5" s="38" t="s">
        <v>243</v>
      </c>
      <c r="C5" s="2">
        <v>122</v>
      </c>
      <c r="D5" s="2">
        <v>64</v>
      </c>
      <c r="E5" s="2">
        <v>2.5</v>
      </c>
      <c r="F5" s="60">
        <f>C5/E5</f>
        <v>48.8</v>
      </c>
      <c r="G5" s="61">
        <f>D5/E5</f>
        <v>25.6</v>
      </c>
    </row>
    <row r="6" spans="2:7" x14ac:dyDescent="0.25">
      <c r="B6" s="38" t="s">
        <v>234</v>
      </c>
      <c r="C6" s="35">
        <v>156</v>
      </c>
      <c r="D6" s="35">
        <v>39</v>
      </c>
      <c r="E6" s="2">
        <v>2.44</v>
      </c>
      <c r="F6" s="60">
        <f>C6/E6</f>
        <v>63.934426229508198</v>
      </c>
      <c r="G6" s="61">
        <f t="shared" ref="G6:G11" si="0">D6/E6</f>
        <v>15.983606557377049</v>
      </c>
    </row>
    <row r="7" spans="2:7" x14ac:dyDescent="0.25">
      <c r="B7" s="38" t="s">
        <v>235</v>
      </c>
      <c r="C7" s="35">
        <v>86</v>
      </c>
      <c r="D7" s="35">
        <v>48</v>
      </c>
      <c r="E7" s="2">
        <v>2.0499999999999998</v>
      </c>
      <c r="F7" s="60">
        <f t="shared" ref="F7:F11" si="1">C7/E7</f>
        <v>41.951219512195124</v>
      </c>
      <c r="G7" s="61">
        <f t="shared" si="0"/>
        <v>23.414634146341466</v>
      </c>
    </row>
    <row r="8" spans="2:7" x14ac:dyDescent="0.25">
      <c r="B8" s="38" t="s">
        <v>233</v>
      </c>
      <c r="C8" s="35">
        <v>87</v>
      </c>
      <c r="D8" s="35">
        <v>32</v>
      </c>
      <c r="E8" s="2">
        <v>2.48</v>
      </c>
      <c r="F8" s="60">
        <f t="shared" si="1"/>
        <v>35.08064516129032</v>
      </c>
      <c r="G8" s="61">
        <f t="shared" si="0"/>
        <v>12.903225806451614</v>
      </c>
    </row>
    <row r="9" spans="2:7" ht="30" x14ac:dyDescent="0.25">
      <c r="B9" s="62" t="s">
        <v>253</v>
      </c>
      <c r="C9" s="35">
        <v>164</v>
      </c>
      <c r="D9" s="35">
        <v>176</v>
      </c>
      <c r="E9" s="2">
        <v>2.5</v>
      </c>
      <c r="F9" s="60">
        <f t="shared" si="1"/>
        <v>65.599999999999994</v>
      </c>
      <c r="G9" s="61">
        <f t="shared" si="0"/>
        <v>70.400000000000006</v>
      </c>
    </row>
    <row r="10" spans="2:7" x14ac:dyDescent="0.25">
      <c r="B10" s="62" t="s">
        <v>254</v>
      </c>
      <c r="C10" s="59">
        <v>118</v>
      </c>
      <c r="D10" s="59">
        <v>151</v>
      </c>
      <c r="E10" s="2">
        <v>2.5</v>
      </c>
      <c r="F10" s="60">
        <f t="shared" si="1"/>
        <v>47.2</v>
      </c>
      <c r="G10" s="61">
        <f t="shared" si="0"/>
        <v>60.4</v>
      </c>
    </row>
    <row r="11" spans="2:7" ht="30" x14ac:dyDescent="0.25">
      <c r="B11" s="62" t="s">
        <v>255</v>
      </c>
      <c r="C11" s="59">
        <v>169</v>
      </c>
      <c r="D11" s="59">
        <v>45</v>
      </c>
      <c r="E11" s="2">
        <v>2.5</v>
      </c>
      <c r="F11" s="60">
        <f t="shared" si="1"/>
        <v>67.599999999999994</v>
      </c>
      <c r="G11" s="61">
        <f t="shared" si="0"/>
        <v>18</v>
      </c>
    </row>
    <row r="12" spans="2:7" x14ac:dyDescent="0.25">
      <c r="B12" s="80" t="s">
        <v>75</v>
      </c>
      <c r="C12" s="56"/>
      <c r="D12" s="56">
        <f>AVERAGE(D5:D11)</f>
        <v>79.285714285714292</v>
      </c>
      <c r="F12" s="41">
        <f>AVERAGE(F5:F11)</f>
        <v>52.880898700427664</v>
      </c>
      <c r="G12" s="41">
        <f>AVERAGE(G5:G11)</f>
        <v>32.385923787167165</v>
      </c>
    </row>
    <row r="13" spans="2:7" x14ac:dyDescent="0.25">
      <c r="B13" s="57"/>
      <c r="C13" s="56"/>
      <c r="D13" s="56"/>
    </row>
    <row r="14" spans="2:7" x14ac:dyDescent="0.25">
      <c r="B14" s="3" t="s">
        <v>237</v>
      </c>
    </row>
    <row r="16" spans="2:7" x14ac:dyDescent="0.25">
      <c r="B16" t="s">
        <v>77</v>
      </c>
      <c r="C16" s="58" t="s">
        <v>78</v>
      </c>
    </row>
    <row r="17" spans="2:6" x14ac:dyDescent="0.25">
      <c r="B17" t="s">
        <v>79</v>
      </c>
      <c r="C17" s="58" t="s">
        <v>80</v>
      </c>
    </row>
    <row r="18" spans="2:6" x14ac:dyDescent="0.25">
      <c r="B18" t="s">
        <v>238</v>
      </c>
    </row>
    <row r="20" spans="2:6" x14ac:dyDescent="0.25">
      <c r="B20" s="3" t="s">
        <v>70</v>
      </c>
    </row>
    <row r="22" spans="2:6" x14ac:dyDescent="0.25">
      <c r="B22" s="2"/>
      <c r="C22" s="109" t="s">
        <v>71</v>
      </c>
      <c r="D22" s="110"/>
      <c r="E22" s="109" t="s">
        <v>72</v>
      </c>
      <c r="F22" s="110"/>
    </row>
    <row r="23" spans="2:6" x14ac:dyDescent="0.25">
      <c r="B23" s="35" t="s">
        <v>244</v>
      </c>
      <c r="C23" s="2" t="s">
        <v>73</v>
      </c>
      <c r="D23" s="2" t="s">
        <v>74</v>
      </c>
      <c r="E23" s="2" t="s">
        <v>73</v>
      </c>
      <c r="F23" s="2" t="s">
        <v>74</v>
      </c>
    </row>
    <row r="24" spans="2:6" x14ac:dyDescent="0.25">
      <c r="B24" s="2">
        <v>2017</v>
      </c>
      <c r="C24" s="2">
        <v>125</v>
      </c>
      <c r="D24" s="2">
        <v>73</v>
      </c>
      <c r="E24" s="2">
        <v>123</v>
      </c>
      <c r="F24" s="2">
        <v>55</v>
      </c>
    </row>
    <row r="25" spans="2:6" x14ac:dyDescent="0.25">
      <c r="B25" s="2">
        <v>2018</v>
      </c>
      <c r="C25" s="2">
        <v>126</v>
      </c>
      <c r="D25" s="2">
        <v>74</v>
      </c>
      <c r="E25" s="2">
        <v>113</v>
      </c>
      <c r="F25" s="2">
        <v>53</v>
      </c>
    </row>
    <row r="26" spans="2:6" x14ac:dyDescent="0.25">
      <c r="B26" s="2" t="s">
        <v>75</v>
      </c>
      <c r="C26" s="2">
        <v>126</v>
      </c>
      <c r="D26" s="2">
        <v>73</v>
      </c>
      <c r="E26" s="2">
        <v>118</v>
      </c>
      <c r="F26" s="2">
        <v>54</v>
      </c>
    </row>
    <row r="27" spans="2:6" x14ac:dyDescent="0.25">
      <c r="B27" t="s">
        <v>76</v>
      </c>
    </row>
  </sheetData>
  <mergeCells count="2">
    <mergeCell ref="C22:D22"/>
    <mergeCell ref="E22:F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61" workbookViewId="0">
      <selection activeCell="G39" sqref="G39"/>
    </sheetView>
  </sheetViews>
  <sheetFormatPr defaultColWidth="8.85546875" defaultRowHeight="15" x14ac:dyDescent="0.25"/>
  <cols>
    <col min="1" max="1" width="11" style="50" bestFit="1" customWidth="1"/>
    <col min="2" max="2" width="55.7109375" style="51" customWidth="1"/>
    <col min="3" max="4" width="15.140625" style="52" customWidth="1"/>
    <col min="5" max="16384" width="8.85546875" style="49"/>
  </cols>
  <sheetData>
    <row r="1" spans="1:4" x14ac:dyDescent="0.25">
      <c r="A1" s="46" t="s">
        <v>97</v>
      </c>
      <c r="B1" s="47" t="s">
        <v>98</v>
      </c>
      <c r="C1" s="48" t="s">
        <v>99</v>
      </c>
      <c r="D1" s="48" t="s">
        <v>100</v>
      </c>
    </row>
    <row r="2" spans="1:4" x14ac:dyDescent="0.25">
      <c r="A2" s="50" t="s">
        <v>101</v>
      </c>
      <c r="B2" s="51" t="s">
        <v>102</v>
      </c>
      <c r="C2" s="52">
        <v>8.2899724840399994E-2</v>
      </c>
      <c r="D2" s="52">
        <v>8.2899724840399994E-2</v>
      </c>
    </row>
    <row r="3" spans="1:4" ht="45" x14ac:dyDescent="0.25">
      <c r="A3" s="50" t="s">
        <v>103</v>
      </c>
      <c r="B3" s="51" t="s">
        <v>104</v>
      </c>
      <c r="C3" s="52">
        <v>0.964207011354</v>
      </c>
      <c r="D3" s="52">
        <v>0.964207011354</v>
      </c>
    </row>
    <row r="4" spans="1:4" x14ac:dyDescent="0.25">
      <c r="A4" s="50" t="s">
        <v>105</v>
      </c>
      <c r="B4" s="51" t="s">
        <v>106</v>
      </c>
      <c r="C4" s="52">
        <v>0.18613051410500001</v>
      </c>
      <c r="D4" s="52">
        <v>0.18613051410500001</v>
      </c>
    </row>
    <row r="5" spans="1:4" x14ac:dyDescent="0.25">
      <c r="A5" s="50" t="s">
        <v>107</v>
      </c>
      <c r="B5" s="51" t="s">
        <v>108</v>
      </c>
      <c r="C5" s="52">
        <v>0.24444599932700001</v>
      </c>
      <c r="D5" s="52">
        <v>0.24444599932700001</v>
      </c>
    </row>
    <row r="6" spans="1:4" x14ac:dyDescent="0.25">
      <c r="A6" s="50" t="s">
        <v>109</v>
      </c>
      <c r="B6" s="51" t="s">
        <v>110</v>
      </c>
      <c r="C6" s="52">
        <v>7.7556603002299995E-2</v>
      </c>
      <c r="D6" s="52">
        <v>7.7556603002299995E-2</v>
      </c>
    </row>
    <row r="7" spans="1:4" x14ac:dyDescent="0.25">
      <c r="A7" s="50" t="s">
        <v>111</v>
      </c>
      <c r="B7" s="51" t="s">
        <v>112</v>
      </c>
      <c r="C7" s="52">
        <v>8.5576384121899995E-2</v>
      </c>
      <c r="D7" s="52">
        <v>8.5576384121899995E-2</v>
      </c>
    </row>
    <row r="8" spans="1:4" ht="45" x14ac:dyDescent="0.25">
      <c r="A8" s="50" t="s">
        <v>113</v>
      </c>
      <c r="B8" s="51" t="s">
        <v>114</v>
      </c>
      <c r="C8" s="52">
        <v>0.105141558437</v>
      </c>
      <c r="D8" s="52">
        <v>0.105141558437</v>
      </c>
    </row>
    <row r="9" spans="1:4" x14ac:dyDescent="0.25">
      <c r="A9" s="50" t="s">
        <v>115</v>
      </c>
      <c r="B9" s="51" t="s">
        <v>116</v>
      </c>
      <c r="C9" s="52">
        <v>3.9265908350699999E-2</v>
      </c>
      <c r="D9" s="52">
        <v>3.9265908350699999E-2</v>
      </c>
    </row>
    <row r="10" spans="1:4" ht="30" x14ac:dyDescent="0.25">
      <c r="A10" s="50" t="s">
        <v>117</v>
      </c>
      <c r="B10" s="51" t="s">
        <v>118</v>
      </c>
      <c r="C10" s="52">
        <v>0.10810195416600001</v>
      </c>
      <c r="D10" s="52">
        <v>0.10810195416600001</v>
      </c>
    </row>
    <row r="11" spans="1:4" x14ac:dyDescent="0.25">
      <c r="A11" s="50" t="s">
        <v>119</v>
      </c>
      <c r="B11" s="51" t="s">
        <v>120</v>
      </c>
      <c r="C11" s="52">
        <v>8.8050916922399997E-2</v>
      </c>
      <c r="D11" s="52">
        <v>8.8050916922399997E-2</v>
      </c>
    </row>
    <row r="12" spans="1:4" x14ac:dyDescent="0.25">
      <c r="A12" s="50" t="s">
        <v>121</v>
      </c>
      <c r="B12" s="51" t="s">
        <v>106</v>
      </c>
      <c r="C12" s="52">
        <v>1.2846983669200001</v>
      </c>
      <c r="D12" s="52">
        <v>1.2846983669200001</v>
      </c>
    </row>
    <row r="13" spans="1:4" x14ac:dyDescent="0.25">
      <c r="A13" s="50" t="s">
        <v>122</v>
      </c>
      <c r="B13" s="51" t="s">
        <v>123</v>
      </c>
      <c r="C13" s="52">
        <v>0.32072118034699998</v>
      </c>
      <c r="D13" s="52">
        <v>0.32072118034699998</v>
      </c>
    </row>
    <row r="14" spans="1:4" x14ac:dyDescent="0.25">
      <c r="A14" s="50" t="s">
        <v>124</v>
      </c>
      <c r="B14" s="51" t="s">
        <v>106</v>
      </c>
      <c r="C14" s="52">
        <v>0.456093242003</v>
      </c>
      <c r="D14" s="52">
        <v>0.456093242003</v>
      </c>
    </row>
    <row r="15" spans="1:4" x14ac:dyDescent="0.25">
      <c r="A15" s="50" t="s">
        <v>125</v>
      </c>
      <c r="B15" s="51" t="s">
        <v>126</v>
      </c>
      <c r="C15" s="52">
        <v>0.43227851470899997</v>
      </c>
      <c r="D15" s="52">
        <v>0.43227851470899997</v>
      </c>
    </row>
    <row r="16" spans="1:4" x14ac:dyDescent="0.25">
      <c r="A16" s="50" t="s">
        <v>127</v>
      </c>
      <c r="B16" s="51" t="s">
        <v>110</v>
      </c>
      <c r="C16" s="52">
        <v>0.594042050165</v>
      </c>
      <c r="D16" s="52">
        <v>0.594042050165</v>
      </c>
    </row>
    <row r="17" spans="1:4" x14ac:dyDescent="0.25">
      <c r="A17" s="50" t="s">
        <v>128</v>
      </c>
      <c r="B17" s="51" t="s">
        <v>116</v>
      </c>
      <c r="C17" s="52">
        <v>0.98322536706200003</v>
      </c>
      <c r="D17" s="52">
        <v>0.98322536706200003</v>
      </c>
    </row>
    <row r="18" spans="1:4" x14ac:dyDescent="0.25">
      <c r="A18" s="50" t="s">
        <v>129</v>
      </c>
      <c r="B18" s="51" t="s">
        <v>130</v>
      </c>
      <c r="C18" s="52">
        <v>0.33320947974199999</v>
      </c>
      <c r="D18" s="52">
        <v>0.33320947974199999</v>
      </c>
    </row>
    <row r="19" spans="1:4" x14ac:dyDescent="0.25">
      <c r="A19" s="50" t="s">
        <v>131</v>
      </c>
      <c r="B19" s="51" t="s">
        <v>116</v>
      </c>
      <c r="C19" s="52">
        <v>0.37257618095599998</v>
      </c>
      <c r="D19" s="52">
        <v>0.37257618095599998</v>
      </c>
    </row>
    <row r="20" spans="1:4" ht="30" x14ac:dyDescent="0.25">
      <c r="A20" s="50" t="s">
        <v>132</v>
      </c>
      <c r="B20" s="51" t="s">
        <v>133</v>
      </c>
      <c r="C20" s="52">
        <v>1.5686323069000001</v>
      </c>
      <c r="D20" s="52">
        <v>1.5686323069000001</v>
      </c>
    </row>
    <row r="21" spans="1:4" x14ac:dyDescent="0.25">
      <c r="A21" s="50" t="s">
        <v>134</v>
      </c>
      <c r="B21" s="51" t="s">
        <v>135</v>
      </c>
      <c r="C21" s="52">
        <v>0.60506208534399997</v>
      </c>
      <c r="D21" s="52">
        <v>0.60506208534399997</v>
      </c>
    </row>
    <row r="22" spans="1:4" x14ac:dyDescent="0.25">
      <c r="A22" s="50" t="s">
        <v>136</v>
      </c>
      <c r="B22" s="51" t="s">
        <v>137</v>
      </c>
      <c r="C22" s="52">
        <v>0.17670885143500001</v>
      </c>
      <c r="D22" s="52">
        <v>0.17670885143500001</v>
      </c>
    </row>
    <row r="23" spans="1:4" x14ac:dyDescent="0.25">
      <c r="A23" s="50" t="s">
        <v>138</v>
      </c>
      <c r="B23" s="51" t="s">
        <v>139</v>
      </c>
      <c r="C23" s="52">
        <v>0.30967891180500001</v>
      </c>
      <c r="D23" s="52">
        <v>0.30967891180500001</v>
      </c>
    </row>
    <row r="24" spans="1:4" x14ac:dyDescent="0.25">
      <c r="A24" s="50" t="s">
        <v>140</v>
      </c>
      <c r="B24" s="51" t="s">
        <v>141</v>
      </c>
      <c r="C24" s="52">
        <v>4.9243497990499999E-2</v>
      </c>
      <c r="D24" s="52">
        <v>4.9243497990499999E-2</v>
      </c>
    </row>
    <row r="25" spans="1:4" x14ac:dyDescent="0.25">
      <c r="A25" s="50" t="s">
        <v>142</v>
      </c>
      <c r="B25" s="51" t="s">
        <v>143</v>
      </c>
      <c r="C25" s="52">
        <v>0.147098005305</v>
      </c>
      <c r="D25" s="52">
        <v>0.147098005305</v>
      </c>
    </row>
    <row r="26" spans="1:4" x14ac:dyDescent="0.25">
      <c r="A26" s="50" t="s">
        <v>144</v>
      </c>
      <c r="B26" s="51" t="s">
        <v>145</v>
      </c>
      <c r="C26" s="52">
        <v>0.29583802340300003</v>
      </c>
      <c r="D26" s="52">
        <v>0.29583802340300003</v>
      </c>
    </row>
    <row r="27" spans="1:4" x14ac:dyDescent="0.25">
      <c r="A27" s="50" t="s">
        <v>146</v>
      </c>
      <c r="B27" s="51" t="s">
        <v>147</v>
      </c>
      <c r="C27" s="52">
        <v>0.381554767681</v>
      </c>
      <c r="D27" s="52">
        <v>0.381554767681</v>
      </c>
    </row>
    <row r="28" spans="1:4" x14ac:dyDescent="0.25">
      <c r="A28" s="50" t="s">
        <v>148</v>
      </c>
      <c r="B28" s="51" t="s">
        <v>149</v>
      </c>
      <c r="C28" s="52">
        <v>0.46685675167399998</v>
      </c>
      <c r="D28" s="52">
        <v>0.46685675167399998</v>
      </c>
    </row>
    <row r="29" spans="1:4" x14ac:dyDescent="0.25">
      <c r="A29" s="50" t="s">
        <v>150</v>
      </c>
      <c r="B29" s="51" t="s">
        <v>149</v>
      </c>
      <c r="C29" s="52">
        <v>6.8467457918499994E-2</v>
      </c>
      <c r="D29" s="52">
        <v>6.8467457918499994E-2</v>
      </c>
    </row>
    <row r="30" spans="1:4" x14ac:dyDescent="0.25">
      <c r="A30" s="50" t="s">
        <v>151</v>
      </c>
      <c r="B30" s="51" t="s">
        <v>152</v>
      </c>
      <c r="C30" s="52">
        <v>0.19271675100800001</v>
      </c>
      <c r="D30" s="52">
        <v>0.19271675100800001</v>
      </c>
    </row>
    <row r="31" spans="1:4" x14ac:dyDescent="0.25">
      <c r="A31" s="50" t="s">
        <v>153</v>
      </c>
      <c r="B31" s="51" t="s">
        <v>149</v>
      </c>
      <c r="C31" s="52">
        <v>0.15450468254899999</v>
      </c>
      <c r="D31" s="52">
        <v>0.15450468254899999</v>
      </c>
    </row>
    <row r="32" spans="1:4" x14ac:dyDescent="0.25">
      <c r="A32" s="50" t="s">
        <v>154</v>
      </c>
      <c r="B32" s="51" t="s">
        <v>155</v>
      </c>
      <c r="C32" s="52">
        <v>1.23078007278</v>
      </c>
      <c r="D32" s="52">
        <v>1.23078007278</v>
      </c>
    </row>
    <row r="33" spans="1:4" x14ac:dyDescent="0.25">
      <c r="A33" s="50" t="s">
        <v>156</v>
      </c>
      <c r="B33" s="51" t="s">
        <v>157</v>
      </c>
      <c r="C33" s="52">
        <v>0.14831279755999999</v>
      </c>
      <c r="D33" s="52">
        <v>0.14831279755999999</v>
      </c>
    </row>
    <row r="34" spans="1:4" x14ac:dyDescent="0.25">
      <c r="A34" s="50" t="s">
        <v>158</v>
      </c>
      <c r="B34" s="51" t="s">
        <v>159</v>
      </c>
      <c r="C34" s="52">
        <v>0.34834393064699998</v>
      </c>
      <c r="D34" s="52">
        <v>0.34834393064699998</v>
      </c>
    </row>
    <row r="35" spans="1:4" ht="30" x14ac:dyDescent="0.25">
      <c r="A35" s="50" t="s">
        <v>160</v>
      </c>
      <c r="B35" s="51" t="s">
        <v>161</v>
      </c>
      <c r="C35" s="52">
        <v>0.26400715239799999</v>
      </c>
      <c r="D35" s="52">
        <v>0.26400715239799999</v>
      </c>
    </row>
    <row r="36" spans="1:4" x14ac:dyDescent="0.25">
      <c r="A36" s="50" t="s">
        <v>162</v>
      </c>
      <c r="B36" s="51" t="s">
        <v>163</v>
      </c>
      <c r="C36" s="52">
        <v>0.25228996895299999</v>
      </c>
      <c r="D36" s="52">
        <v>0.25228996895299999</v>
      </c>
    </row>
    <row r="37" spans="1:4" x14ac:dyDescent="0.25">
      <c r="A37" s="50" t="s">
        <v>164</v>
      </c>
      <c r="B37" s="51" t="s">
        <v>116</v>
      </c>
      <c r="C37" s="52">
        <v>9.9818714038799994E-2</v>
      </c>
      <c r="D37" s="52">
        <v>9.9818714038799994E-2</v>
      </c>
    </row>
    <row r="38" spans="1:4" x14ac:dyDescent="0.25">
      <c r="A38" s="50" t="s">
        <v>165</v>
      </c>
      <c r="B38" s="51" t="s">
        <v>116</v>
      </c>
      <c r="C38" s="52">
        <v>0.13288361315800001</v>
      </c>
      <c r="D38" s="52">
        <v>0.13288361315800001</v>
      </c>
    </row>
    <row r="39" spans="1:4" x14ac:dyDescent="0.25">
      <c r="A39" s="50" t="s">
        <v>166</v>
      </c>
      <c r="B39" s="51" t="s">
        <v>167</v>
      </c>
      <c r="C39" s="52">
        <v>0</v>
      </c>
      <c r="D39" s="52">
        <v>0.05</v>
      </c>
    </row>
    <row r="40" spans="1:4" ht="45" x14ac:dyDescent="0.25">
      <c r="A40" s="50" t="s">
        <v>168</v>
      </c>
      <c r="B40" s="51" t="s">
        <v>169</v>
      </c>
      <c r="C40" s="52">
        <v>0</v>
      </c>
      <c r="D40" s="52">
        <v>0.05</v>
      </c>
    </row>
    <row r="41" spans="1:4" ht="30" x14ac:dyDescent="0.25">
      <c r="A41" s="50" t="s">
        <v>170</v>
      </c>
      <c r="B41" s="51" t="s">
        <v>171</v>
      </c>
      <c r="C41" s="52">
        <v>0</v>
      </c>
      <c r="D41" s="52">
        <v>0.05</v>
      </c>
    </row>
    <row r="42" spans="1:4" x14ac:dyDescent="0.25">
      <c r="A42" s="50" t="s">
        <v>172</v>
      </c>
      <c r="B42" s="51" t="s">
        <v>173</v>
      </c>
      <c r="C42" s="52">
        <v>0</v>
      </c>
      <c r="D42" s="52">
        <v>0.05</v>
      </c>
    </row>
    <row r="43" spans="1:4" x14ac:dyDescent="0.25">
      <c r="A43" s="50" t="s">
        <v>174</v>
      </c>
      <c r="B43" s="51" t="s">
        <v>175</v>
      </c>
      <c r="C43" s="52">
        <v>0</v>
      </c>
      <c r="D43" s="52">
        <v>0.05</v>
      </c>
    </row>
    <row r="44" spans="1:4" ht="30" x14ac:dyDescent="0.25">
      <c r="A44" s="50" t="s">
        <v>176</v>
      </c>
      <c r="B44" s="51" t="s">
        <v>177</v>
      </c>
      <c r="C44" s="52">
        <v>0</v>
      </c>
      <c r="D44" s="52">
        <v>0.05</v>
      </c>
    </row>
    <row r="45" spans="1:4" ht="30" x14ac:dyDescent="0.25">
      <c r="A45" s="50" t="s">
        <v>178</v>
      </c>
      <c r="B45" s="51" t="s">
        <v>179</v>
      </c>
      <c r="C45" s="52">
        <v>0</v>
      </c>
      <c r="D45" s="52">
        <v>0.05</v>
      </c>
    </row>
    <row r="46" spans="1:4" ht="30" x14ac:dyDescent="0.25">
      <c r="A46" s="50" t="s">
        <v>180</v>
      </c>
      <c r="B46" s="51" t="s">
        <v>181</v>
      </c>
      <c r="C46" s="52">
        <v>0</v>
      </c>
      <c r="D46" s="52">
        <v>0.05</v>
      </c>
    </row>
    <row r="47" spans="1:4" x14ac:dyDescent="0.25">
      <c r="A47" s="50" t="s">
        <v>182</v>
      </c>
      <c r="B47" s="51" t="s">
        <v>183</v>
      </c>
      <c r="C47" s="52">
        <v>0</v>
      </c>
      <c r="D47" s="52">
        <v>0.05</v>
      </c>
    </row>
    <row r="48" spans="1:4" x14ac:dyDescent="0.25">
      <c r="A48" s="50" t="s">
        <v>184</v>
      </c>
      <c r="B48" s="51" t="s">
        <v>185</v>
      </c>
      <c r="C48" s="52">
        <v>0</v>
      </c>
      <c r="D48" s="52">
        <v>0.05</v>
      </c>
    </row>
    <row r="49" spans="1:4" x14ac:dyDescent="0.25">
      <c r="A49" s="50" t="s">
        <v>186</v>
      </c>
      <c r="B49" s="51" t="s">
        <v>187</v>
      </c>
      <c r="C49" s="52">
        <v>0</v>
      </c>
      <c r="D49" s="52">
        <v>0.05</v>
      </c>
    </row>
    <row r="50" spans="1:4" x14ac:dyDescent="0.25">
      <c r="A50" s="50" t="s">
        <v>188</v>
      </c>
      <c r="B50" s="51" t="s">
        <v>187</v>
      </c>
      <c r="C50" s="52">
        <v>0</v>
      </c>
      <c r="D50" s="52">
        <v>0.05</v>
      </c>
    </row>
    <row r="51" spans="1:4" x14ac:dyDescent="0.25">
      <c r="A51" s="50" t="s">
        <v>189</v>
      </c>
      <c r="B51" s="51" t="s">
        <v>187</v>
      </c>
      <c r="C51" s="52">
        <v>0</v>
      </c>
      <c r="D51" s="52">
        <v>0.05</v>
      </c>
    </row>
    <row r="52" spans="1:4" x14ac:dyDescent="0.25">
      <c r="A52" s="50" t="s">
        <v>190</v>
      </c>
      <c r="B52" s="51" t="s">
        <v>191</v>
      </c>
      <c r="C52" s="52">
        <v>0</v>
      </c>
      <c r="D52" s="52">
        <v>0.05</v>
      </c>
    </row>
    <row r="53" spans="1:4" x14ac:dyDescent="0.25">
      <c r="A53" s="50" t="s">
        <v>192</v>
      </c>
      <c r="B53" s="51" t="s">
        <v>193</v>
      </c>
      <c r="C53" s="52">
        <v>0</v>
      </c>
      <c r="D53" s="52">
        <v>0.05</v>
      </c>
    </row>
    <row r="54" spans="1:4" x14ac:dyDescent="0.25">
      <c r="A54" s="50" t="s">
        <v>194</v>
      </c>
      <c r="B54" s="51" t="s">
        <v>195</v>
      </c>
      <c r="C54" s="52">
        <v>0</v>
      </c>
      <c r="D54" s="52">
        <v>0.05</v>
      </c>
    </row>
    <row r="55" spans="1:4" x14ac:dyDescent="0.25">
      <c r="A55" s="50" t="s">
        <v>196</v>
      </c>
      <c r="B55" s="51" t="s">
        <v>197</v>
      </c>
      <c r="C55" s="52">
        <v>0</v>
      </c>
      <c r="D55" s="52">
        <v>0.05</v>
      </c>
    </row>
    <row r="56" spans="1:4" x14ac:dyDescent="0.25">
      <c r="A56" s="50" t="s">
        <v>198</v>
      </c>
      <c r="B56" s="51" t="s">
        <v>199</v>
      </c>
      <c r="C56" s="52">
        <v>0</v>
      </c>
      <c r="D56" s="52">
        <v>0.05</v>
      </c>
    </row>
    <row r="57" spans="1:4" ht="30" x14ac:dyDescent="0.25">
      <c r="A57" s="50" t="s">
        <v>200</v>
      </c>
      <c r="B57" s="51" t="s">
        <v>201</v>
      </c>
      <c r="C57" s="52">
        <v>0</v>
      </c>
      <c r="D57" s="52">
        <v>0.05</v>
      </c>
    </row>
    <row r="58" spans="1:4" x14ac:dyDescent="0.25">
      <c r="A58" s="50" t="s">
        <v>202</v>
      </c>
      <c r="B58" s="51" t="s">
        <v>203</v>
      </c>
      <c r="C58" s="52">
        <v>0</v>
      </c>
      <c r="D58" s="52">
        <v>0.05</v>
      </c>
    </row>
    <row r="59" spans="1:4" x14ac:dyDescent="0.25">
      <c r="A59" s="50" t="s">
        <v>204</v>
      </c>
      <c r="B59" s="51" t="s">
        <v>185</v>
      </c>
      <c r="C59" s="52">
        <v>0</v>
      </c>
      <c r="D59" s="52">
        <v>0.05</v>
      </c>
    </row>
    <row r="60" spans="1:4" x14ac:dyDescent="0.25">
      <c r="A60" s="50" t="s">
        <v>205</v>
      </c>
      <c r="B60" s="51" t="s">
        <v>185</v>
      </c>
      <c r="C60" s="52">
        <v>0</v>
      </c>
      <c r="D60" s="52">
        <v>0.05</v>
      </c>
    </row>
    <row r="61" spans="1:4" x14ac:dyDescent="0.25">
      <c r="A61" s="50" t="s">
        <v>206</v>
      </c>
      <c r="B61" s="51" t="s">
        <v>207</v>
      </c>
      <c r="C61" s="52">
        <v>0</v>
      </c>
      <c r="D61" s="52">
        <v>0.05</v>
      </c>
    </row>
    <row r="62" spans="1:4" ht="30" x14ac:dyDescent="0.25">
      <c r="A62" s="50" t="s">
        <v>208</v>
      </c>
      <c r="B62" s="51" t="s">
        <v>209</v>
      </c>
      <c r="C62" s="52">
        <v>0</v>
      </c>
      <c r="D62" s="52">
        <v>0.05</v>
      </c>
    </row>
    <row r="63" spans="1:4" x14ac:dyDescent="0.25">
      <c r="A63" s="50" t="s">
        <v>210</v>
      </c>
      <c r="B63" s="51" t="s">
        <v>187</v>
      </c>
      <c r="C63" s="52">
        <v>0</v>
      </c>
      <c r="D63" s="52">
        <v>0.05</v>
      </c>
    </row>
    <row r="64" spans="1:4" x14ac:dyDescent="0.25">
      <c r="A64" s="50" t="s">
        <v>211</v>
      </c>
      <c r="B64" s="51" t="s">
        <v>187</v>
      </c>
      <c r="C64" s="52">
        <v>0</v>
      </c>
      <c r="D64" s="52">
        <v>0.05</v>
      </c>
    </row>
    <row r="65" spans="1:4" x14ac:dyDescent="0.25">
      <c r="A65" s="50" t="s">
        <v>212</v>
      </c>
      <c r="B65" s="51" t="s">
        <v>187</v>
      </c>
      <c r="C65" s="52">
        <v>0</v>
      </c>
      <c r="D65" s="52">
        <v>0.05</v>
      </c>
    </row>
    <row r="66" spans="1:4" x14ac:dyDescent="0.25">
      <c r="A66" s="50" t="s">
        <v>213</v>
      </c>
      <c r="B66" s="51" t="s">
        <v>187</v>
      </c>
      <c r="C66" s="52">
        <v>0</v>
      </c>
      <c r="D66" s="52">
        <v>0.05</v>
      </c>
    </row>
    <row r="67" spans="1:4" x14ac:dyDescent="0.25">
      <c r="A67" s="50" t="s">
        <v>214</v>
      </c>
      <c r="B67" s="51" t="s">
        <v>215</v>
      </c>
      <c r="C67" s="52">
        <v>0</v>
      </c>
      <c r="D67" s="52">
        <v>0.05</v>
      </c>
    </row>
    <row r="68" spans="1:4" x14ac:dyDescent="0.25">
      <c r="A68" s="50" t="s">
        <v>216</v>
      </c>
      <c r="B68" s="51" t="s">
        <v>187</v>
      </c>
      <c r="C68" s="52">
        <v>0</v>
      </c>
      <c r="D68" s="52">
        <v>0.05</v>
      </c>
    </row>
    <row r="69" spans="1:4" x14ac:dyDescent="0.25">
      <c r="A69" s="50" t="s">
        <v>217</v>
      </c>
      <c r="B69" s="51" t="s">
        <v>187</v>
      </c>
      <c r="C69" s="52">
        <v>0</v>
      </c>
      <c r="D69" s="52">
        <v>0.05</v>
      </c>
    </row>
    <row r="70" spans="1:4" ht="30" x14ac:dyDescent="0.25">
      <c r="A70" s="50" t="s">
        <v>218</v>
      </c>
      <c r="B70" s="51" t="s">
        <v>219</v>
      </c>
      <c r="C70" s="52">
        <v>0</v>
      </c>
      <c r="D70" s="52">
        <v>0.05</v>
      </c>
    </row>
    <row r="71" spans="1:4" x14ac:dyDescent="0.25">
      <c r="A71" s="50" t="s">
        <v>220</v>
      </c>
      <c r="B71" s="51" t="s">
        <v>187</v>
      </c>
      <c r="C71" s="52">
        <v>0</v>
      </c>
      <c r="D71" s="52">
        <v>0.05</v>
      </c>
    </row>
    <row r="72" spans="1:4" x14ac:dyDescent="0.25">
      <c r="A72" s="50" t="s">
        <v>221</v>
      </c>
      <c r="B72" s="51" t="s">
        <v>187</v>
      </c>
      <c r="C72" s="52">
        <v>0</v>
      </c>
      <c r="D72" s="52">
        <v>0.05</v>
      </c>
    </row>
    <row r="73" spans="1:4" ht="30" x14ac:dyDescent="0.25">
      <c r="A73" s="50" t="s">
        <v>222</v>
      </c>
      <c r="B73" s="51" t="s">
        <v>181</v>
      </c>
      <c r="C73" s="52">
        <v>0</v>
      </c>
      <c r="D73" s="52">
        <v>0.05</v>
      </c>
    </row>
    <row r="74" spans="1:4" x14ac:dyDescent="0.25">
      <c r="A74" s="50" t="s">
        <v>223</v>
      </c>
      <c r="B74" s="51" t="s">
        <v>187</v>
      </c>
      <c r="C74" s="52">
        <v>0</v>
      </c>
      <c r="D74" s="52">
        <v>0.05</v>
      </c>
    </row>
    <row r="75" spans="1:4" x14ac:dyDescent="0.25">
      <c r="A75" s="50" t="s">
        <v>224</v>
      </c>
      <c r="B75" s="51" t="s">
        <v>187</v>
      </c>
      <c r="C75" s="52">
        <v>0</v>
      </c>
      <c r="D75" s="52">
        <v>0.05</v>
      </c>
    </row>
    <row r="76" spans="1:4" x14ac:dyDescent="0.25">
      <c r="A76" s="50" t="s">
        <v>225</v>
      </c>
      <c r="B76" s="51" t="s">
        <v>187</v>
      </c>
      <c r="C76" s="52">
        <v>0</v>
      </c>
      <c r="D76" s="52">
        <v>0.05</v>
      </c>
    </row>
    <row r="77" spans="1:4" x14ac:dyDescent="0.25">
      <c r="A77" s="50" t="s">
        <v>226</v>
      </c>
      <c r="B77" s="51" t="s">
        <v>227</v>
      </c>
      <c r="C77" s="52">
        <v>0</v>
      </c>
      <c r="D77" s="52">
        <v>0.05</v>
      </c>
    </row>
    <row r="78" spans="1:4" x14ac:dyDescent="0.25">
      <c r="A78" s="50" t="s">
        <v>228</v>
      </c>
      <c r="B78" s="51" t="s">
        <v>229</v>
      </c>
      <c r="C78" s="52">
        <v>0</v>
      </c>
      <c r="D78" s="52">
        <v>0.05</v>
      </c>
    </row>
    <row r="79" spans="1:4" x14ac:dyDescent="0.25">
      <c r="A79" s="50" t="s">
        <v>230</v>
      </c>
      <c r="B79" s="51" t="s">
        <v>187</v>
      </c>
      <c r="C79" s="52">
        <v>0</v>
      </c>
      <c r="D79" s="52">
        <v>0.05</v>
      </c>
    </row>
    <row r="80" spans="1:4" x14ac:dyDescent="0.25">
      <c r="A80" s="50" t="s">
        <v>231</v>
      </c>
      <c r="B80" s="51" t="s">
        <v>187</v>
      </c>
      <c r="C80" s="52">
        <v>0</v>
      </c>
      <c r="D80" s="52">
        <v>0.05</v>
      </c>
    </row>
    <row r="81" spans="1:4" x14ac:dyDescent="0.25">
      <c r="A81" s="50">
        <v>1920069008</v>
      </c>
      <c r="B81" s="51" t="s">
        <v>187</v>
      </c>
      <c r="C81" s="52">
        <v>0</v>
      </c>
      <c r="D81" s="52">
        <v>0.05</v>
      </c>
    </row>
    <row r="82" spans="1:4" x14ac:dyDescent="0.25">
      <c r="B82" s="53" t="s">
        <v>20</v>
      </c>
      <c r="C82" s="54">
        <f>SUM(C2:C81)</f>
        <v>13.651019299078499</v>
      </c>
      <c r="D82" s="54">
        <f>SUM(D2:D81)</f>
        <v>15.801019299078529</v>
      </c>
    </row>
    <row r="83" spans="1:4" x14ac:dyDescent="0.25">
      <c r="C83" s="55">
        <f>AVERAGE(C2:C81)</f>
        <v>0.17063774123848124</v>
      </c>
      <c r="D83" s="55">
        <f>AVERAGE(D2:D81)</f>
        <v>0.19751274123848162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D565BBD1434694F55D60D1AC51F4" ma:contentTypeVersion="4" ma:contentTypeDescription="Create a new document." ma:contentTypeScope="" ma:versionID="0f0e499c195883a05da68648a14dd41d">
  <xsd:schema xmlns:xsd="http://www.w3.org/2001/XMLSchema" xmlns:xs="http://www.w3.org/2001/XMLSchema" xmlns:p="http://schemas.microsoft.com/office/2006/metadata/properties" xmlns:ns2="81b753b0-5f84-4476-b087-97d9c3e0d4e3" xmlns:ns3="fa9a4940-7a8b-4399-b0b9-597dee2fdc40" targetNamespace="http://schemas.microsoft.com/office/2006/metadata/properties" ma:root="true" ma:fieldsID="9d23ff41967d2128eb7b1e7c8351325a" ns2:_="" ns3:_="">
    <xsd:import namespace="81b753b0-5f84-4476-b087-97d9c3e0d4e3"/>
    <xsd:import namespace="fa9a4940-7a8b-4399-b0b9-597dee2fdc40"/>
    <xsd:element name="properties">
      <xsd:complexType>
        <xsd:sequence>
          <xsd:element name="documentManagement">
            <xsd:complexType>
              <xsd:all>
                <xsd:element ref="ns2:WRIA"/>
                <xsd:element ref="ns2:Accessibility" minOccurs="0"/>
                <xsd:element ref="ns2:EZvie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753b0-5f84-4476-b087-97d9c3e0d4e3" elementFormDefault="qualified">
    <xsd:import namespace="http://schemas.microsoft.com/office/2006/documentManagement/types"/>
    <xsd:import namespace="http://schemas.microsoft.com/office/infopath/2007/PartnerControls"/>
    <xsd:element name="WRIA" ma:index="8" ma:displayName="WRIA" ma:default="Multiple" ma:description="Committee's WRIA" ma:format="Dropdown" ma:internalName="WRIA">
      <xsd:simpleType>
        <xsd:restriction base="dms:Choice">
          <xsd:enumeration value="7"/>
          <xsd:enumeration value="8"/>
          <xsd:enumeration value="9"/>
          <xsd:enumeration value="10"/>
          <xsd:enumeration value="12"/>
          <xsd:enumeration value="Multiple"/>
          <xsd:enumeration value="13"/>
          <xsd:enumeration value="14"/>
          <xsd:enumeration value="15"/>
        </xsd:restriction>
      </xsd:simpleType>
    </xsd:element>
    <xsd:element name="Accessibility" ma:index="9" nillable="true" ma:displayName="Accessibility" ma:default="Needs review" ma:description="Status of Accessibility check." ma:format="Dropdown" ma:internalName="Accessibility">
      <xsd:simpleType>
        <xsd:restriction base="dms:Choice">
          <xsd:enumeration value="Sent Back to Planner"/>
          <xsd:enumeration value="Needs review"/>
          <xsd:enumeration value="In Progress"/>
          <xsd:enumeration value="Completed"/>
          <xsd:enumeration value="Does Not Pass"/>
        </xsd:restriction>
      </xsd:simpleType>
    </xsd:element>
    <xsd:element name="EZview" ma:index="10" nillable="true" ma:displayName="EZview" ma:default="Needs to be posted" ma:description="Status of document on EZview." ma:format="Dropdown" ma:internalName="EZview">
      <xsd:simpleType>
        <xsd:restriction base="dms:Choice">
          <xsd:enumeration value="Needs to be posted"/>
          <xsd:enumeration value="Pending review"/>
          <xsd:enumeration value="Posted"/>
          <xsd:enumeration value="Remov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a4940-7a8b-4399-b0b9-597dee2fd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Zview xmlns="81b753b0-5f84-4476-b087-97d9c3e0d4e3">Needs to be posted</EZview>
    <WRIA xmlns="81b753b0-5f84-4476-b087-97d9c3e0d4e3">10</WRIA>
    <Accessibility xmlns="81b753b0-5f84-4476-b087-97d9c3e0d4e3">Completed</Accessibility>
  </documentManagement>
</p:properties>
</file>

<file path=customXml/itemProps1.xml><?xml version="1.0" encoding="utf-8"?>
<ds:datastoreItem xmlns:ds="http://schemas.openxmlformats.org/officeDocument/2006/customXml" ds:itemID="{D4A8CEDB-8DD6-4D4D-81AD-9324D3357617}"/>
</file>

<file path=customXml/itemProps2.xml><?xml version="1.0" encoding="utf-8"?>
<ds:datastoreItem xmlns:ds="http://schemas.openxmlformats.org/officeDocument/2006/customXml" ds:itemID="{6CA65921-8827-4531-8FC8-13CCF688DF5D}"/>
</file>

<file path=customXml/itemProps3.xml><?xml version="1.0" encoding="utf-8"?>
<ds:datastoreItem xmlns:ds="http://schemas.openxmlformats.org/officeDocument/2006/customXml" ds:itemID="{A155A049-A936-4683-AFF3-4476BAD11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Consumptive Use Calculator</vt:lpstr>
      <vt:lpstr>Seasonal Analysis</vt:lpstr>
      <vt:lpstr>WAIG</vt:lpstr>
      <vt:lpstr>PE Growth</vt:lpstr>
      <vt:lpstr>Water Use Data</vt:lpstr>
      <vt:lpstr> Irrigated Area Calcs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Consumptive Use Calculator</dc:title>
  <dc:creator>Robert Montgomery</dc:creator>
  <cp:lastModifiedBy>Brown, Rebecca (ECY)</cp:lastModifiedBy>
  <cp:lastPrinted>2019-07-30T21:13:05Z</cp:lastPrinted>
  <dcterms:created xsi:type="dcterms:W3CDTF">2019-07-17T20:19:08Z</dcterms:created>
  <dcterms:modified xsi:type="dcterms:W3CDTF">2019-11-07T23:38:03Z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0x010100E87ED565BBD1434694F55D60D1AC51F4</vt:lpwstr>
  </property>
</Properties>
</file>