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4" i="283" l="1"/>
  <c r="AG23" i="283"/>
  <c r="AJ25" i="283"/>
  <c r="X36" i="283"/>
  <c r="J11" i="283" s="1"/>
  <c r="AJ35" i="283"/>
  <c r="AE35" i="283"/>
  <c r="AC37" i="284"/>
  <c r="AG25" i="283"/>
  <c r="AG24" i="283"/>
  <c r="AS54" i="297"/>
  <c r="AG36" i="283"/>
  <c r="AH25" i="283"/>
  <c r="AG35" i="283"/>
  <c r="AC36" i="284"/>
  <c r="AH24" i="283"/>
  <c r="AE23" i="283"/>
  <c r="AE25" i="283"/>
  <c r="AJ34" i="283"/>
  <c r="AJ23" i="283"/>
  <c r="AS53" i="297"/>
  <c r="AE34" i="283"/>
  <c r="AS51" i="297"/>
  <c r="AJ24" i="283"/>
  <c r="AG34" i="283"/>
  <c r="AE36"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AA50" i="283"/>
  <c r="AA52" i="283"/>
  <c r="AA51" i="283"/>
  <c r="F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H13" i="283" l="1"/>
  <c r="AK34" i="283"/>
  <c r="M10" i="283"/>
  <c r="AS56" i="297"/>
  <c r="T87" i="283"/>
  <c r="I12" i="284"/>
  <c r="AK14" i="284"/>
  <c r="I13" i="284"/>
  <c r="AK12" i="284"/>
  <c r="I14" i="284"/>
  <c r="I11" i="284"/>
  <c r="I15" i="284"/>
  <c r="AK13" i="284"/>
  <c r="AK15" i="284"/>
  <c r="AJ40" i="297"/>
  <c r="AD38" i="284"/>
  <c r="AG38" i="284" s="1"/>
  <c r="G14" i="284"/>
  <c r="AC66" i="284"/>
  <c r="AC79" i="284" s="1"/>
  <c r="AJ43" i="297"/>
  <c r="AB51" i="297"/>
  <c r="AE101" i="297" s="1"/>
  <c r="AB121" i="297" s="1"/>
  <c r="AB48" i="297"/>
  <c r="AN12" i="284"/>
  <c r="AN14" i="284"/>
  <c r="K11" i="284"/>
  <c r="AN15" i="284"/>
  <c r="K15" i="284"/>
  <c r="AN13" i="284"/>
  <c r="K22" i="283"/>
  <c r="AD37" i="284"/>
  <c r="AE37" i="284" s="1"/>
  <c r="AI37" i="284" s="1"/>
  <c r="G13" i="284"/>
  <c r="AD65" i="284"/>
  <c r="AJ45" i="297"/>
  <c r="F16" i="286"/>
  <c r="AO16" i="286"/>
  <c r="AC67" i="284"/>
  <c r="AC80" i="284" s="1"/>
  <c r="J22" i="283"/>
  <c r="AD36" i="284"/>
  <c r="AE36" i="284" s="1"/>
  <c r="AI36" i="284" s="1"/>
  <c r="G12" i="284"/>
  <c r="AD68" i="284"/>
  <c r="AJ46" i="297"/>
  <c r="AJ34" i="297"/>
  <c r="F15" i="286"/>
  <c r="G11" i="284"/>
  <c r="AJ42" i="297"/>
  <c r="AC65" i="284"/>
  <c r="AC78" i="284" s="1"/>
  <c r="AD67" i="284"/>
  <c r="AJ33" i="297"/>
  <c r="AJ36" i="297"/>
  <c r="J15" i="283"/>
  <c r="AC69" i="284"/>
  <c r="AD66" i="284"/>
  <c r="AJ37" i="297"/>
  <c r="K15" i="283"/>
  <c r="AD69" i="284"/>
  <c r="AJ39"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D78" i="284" l="1"/>
  <c r="AE78" i="284" s="1"/>
  <c r="AI78" i="284" s="1"/>
  <c r="K23" i="283"/>
  <c r="AD81" i="284"/>
  <c r="I23" i="283"/>
  <c r="J11" i="286"/>
  <c r="AE35" i="284"/>
  <c r="AI35" i="284" s="1"/>
  <c r="AC81" i="284"/>
  <c r="J23" i="283"/>
  <c r="E142" i="297"/>
  <c r="AD80" i="284"/>
  <c r="AG80" i="284" s="1"/>
  <c r="AJ19" i="286"/>
  <c r="K12" i="286"/>
  <c r="AD79" i="284"/>
  <c r="AE79" i="284" s="1"/>
  <c r="AI79" i="284" s="1"/>
  <c r="J12" i="284"/>
  <c r="AI56" i="286"/>
  <c r="H23" i="283"/>
  <c r="K17" i="286"/>
  <c r="M15" i="283"/>
  <c r="AG36" i="284"/>
  <c r="AH36" i="284" s="1"/>
  <c r="AG37" i="284"/>
  <c r="AH37" i="284" s="1"/>
  <c r="AJ56" i="286"/>
  <c r="AN19" i="286"/>
  <c r="AJ49" i="297"/>
  <c r="AE68" i="284"/>
  <c r="AI68" i="284" s="1"/>
  <c r="AE65" i="284"/>
  <c r="AI65" i="284" s="1"/>
  <c r="AL14" i="284"/>
  <c r="J13" i="284"/>
  <c r="AK16" i="284"/>
  <c r="AL13" i="284"/>
  <c r="AS103" i="297"/>
  <c r="AU103" i="297" s="1"/>
  <c r="AO18" i="286"/>
  <c r="H15" i="286"/>
  <c r="K16" i="286"/>
  <c r="K13" i="286"/>
  <c r="J17" i="286"/>
  <c r="J13" i="286"/>
  <c r="AG50" i="283"/>
  <c r="J181" i="283" s="1"/>
  <c r="AM16" i="286"/>
  <c r="AM19" i="286" s="1"/>
  <c r="L23" i="283"/>
  <c r="AK26" i="283"/>
  <c r="K18" i="286"/>
  <c r="AG66" i="284"/>
  <c r="AH66" i="284" s="1"/>
  <c r="AG68" i="284"/>
  <c r="AH68" i="284" s="1"/>
  <c r="AO19" i="286"/>
  <c r="AE66" i="284"/>
  <c r="AI66" i="284" s="1"/>
  <c r="G16" i="284"/>
  <c r="AG67" i="284"/>
  <c r="AH67" i="284" s="1"/>
  <c r="AE67" i="284"/>
  <c r="AI67" i="284" s="1"/>
  <c r="AG65" i="284"/>
  <c r="AH65" i="284" s="1"/>
  <c r="AH69" i="284"/>
  <c r="AL15" i="284"/>
  <c r="J14" i="284"/>
  <c r="AB56" i="297"/>
  <c r="AE106" i="297" s="1"/>
  <c r="H16" i="286"/>
  <c r="K14" i="286"/>
  <c r="AK19" i="286"/>
  <c r="AL12" i="284"/>
  <c r="J11" i="284"/>
  <c r="AI19" i="286"/>
  <c r="AK56" i="286"/>
  <c r="J18" i="286"/>
  <c r="J15" i="286"/>
  <c r="J12" i="286"/>
  <c r="AI56" i="297"/>
  <c r="AI106" i="297" s="1"/>
  <c r="AO56" i="286"/>
  <c r="J14" i="286"/>
  <c r="AK50" i="283"/>
  <c r="G181" i="283" s="1"/>
  <c r="AN56" i="286"/>
  <c r="AE38" i="284"/>
  <c r="AI38" i="284" s="1"/>
  <c r="AN16" i="284"/>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C56" i="297"/>
  <c r="AD106" i="297" s="1"/>
  <c r="AD101" i="297"/>
  <c r="C133" i="297" s="1"/>
  <c r="AD56" i="297"/>
  <c r="AC106" i="297" s="1"/>
  <c r="AC101" i="297"/>
  <c r="C130" i="297" s="1"/>
  <c r="AE56" i="297"/>
  <c r="AF106" i="297" s="1"/>
  <c r="AF101" i="297"/>
  <c r="AF56" i="297"/>
  <c r="AG56" i="297"/>
  <c r="AG106" i="297" s="1"/>
  <c r="AJ68" i="283"/>
  <c r="F193" i="283" s="1"/>
  <c r="AJ70" i="283"/>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AB106"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G78" i="284"/>
  <c r="AJ40" i="283"/>
  <c r="AK10" i="283"/>
  <c r="AH40" i="282"/>
  <c r="AH40" i="283"/>
  <c r="AG79" i="284"/>
  <c r="AE40" i="283"/>
  <c r="AK39" i="283"/>
  <c r="AI16" i="283"/>
  <c r="AJ16" i="283"/>
  <c r="AF16" i="283"/>
  <c r="AE16" i="283"/>
  <c r="AH16" i="283"/>
  <c r="F190" i="283"/>
  <c r="AG16" i="283"/>
  <c r="F196" i="283"/>
  <c r="AF40" i="283"/>
  <c r="AI30" i="282"/>
  <c r="AH28" i="282"/>
  <c r="AH29" i="282"/>
  <c r="AH27" i="282"/>
  <c r="AN28" i="282"/>
  <c r="AN26" i="282"/>
  <c r="AN29" i="282"/>
  <c r="I82" i="282" s="1"/>
  <c r="AN27" i="282"/>
  <c r="I80" i="282" s="1"/>
  <c r="AH49" i="282"/>
  <c r="L27" i="282"/>
  <c r="AI57" i="286" l="1"/>
  <c r="AN57" i="286"/>
  <c r="AG81" i="284"/>
  <c r="AN20" i="286"/>
  <c r="M23" i="283"/>
  <c r="AM55" i="286"/>
  <c r="AM57" i="286" s="1"/>
  <c r="AE80" i="284"/>
  <c r="AI80" i="284" s="1"/>
  <c r="D14" i="297"/>
  <c r="D19" i="297" s="1"/>
  <c r="AO57" i="286"/>
  <c r="AJ57" i="286"/>
  <c r="AO20" i="286"/>
  <c r="AK57" i="286"/>
  <c r="AM18" i="286"/>
  <c r="AM20" i="286" s="1"/>
  <c r="AE56" i="283"/>
  <c r="AE57" i="283" s="1"/>
  <c r="E14" i="297"/>
  <c r="E22" i="297" s="1"/>
  <c r="AL55" i="286"/>
  <c r="AL57" i="286" s="1"/>
  <c r="AL16" i="284"/>
  <c r="AE47" i="283"/>
  <c r="AG56" i="283"/>
  <c r="AG63" i="283" s="1"/>
  <c r="AH101" i="297"/>
  <c r="AH106" i="297" s="1"/>
  <c r="H139" i="297" s="1"/>
  <c r="C22" i="297"/>
  <c r="H19" i="297"/>
  <c r="AH56" i="283"/>
  <c r="AH63" i="283" s="1"/>
  <c r="I18" i="297"/>
  <c r="I26" i="297" s="1"/>
  <c r="AK47" i="283"/>
  <c r="AK48" i="283" s="1"/>
  <c r="AH65" i="283"/>
  <c r="AI72" i="283" s="1"/>
  <c r="AK20" i="286"/>
  <c r="AI20" i="286"/>
  <c r="I17" i="297"/>
  <c r="I25" i="297" s="1"/>
  <c r="AJ65" i="283"/>
  <c r="F194" i="283" s="1"/>
  <c r="AL18" i="286"/>
  <c r="AL20"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AJ72" i="283" s="1"/>
  <c r="AE65" i="283"/>
  <c r="AG72" i="283" s="1"/>
  <c r="AF56" i="283"/>
  <c r="AF63"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AF52" i="283"/>
  <c r="I184" i="283" s="1"/>
  <c r="AF51" i="283"/>
  <c r="H188"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E63" i="283"/>
  <c r="G183" i="283"/>
  <c r="AF66" i="283"/>
  <c r="AH72" i="283"/>
  <c r="AK40" i="283"/>
  <c r="AK16" i="283"/>
  <c r="G80" i="282"/>
  <c r="AI27" i="282"/>
  <c r="G82" i="282"/>
  <c r="AI29" i="282"/>
  <c r="AI26" i="282"/>
  <c r="G81" i="282"/>
  <c r="AI28" i="282"/>
  <c r="D22" i="297" l="1"/>
  <c r="AH81" i="284"/>
  <c r="J188" i="283"/>
  <c r="K194" i="283"/>
  <c r="G182" i="283"/>
  <c r="K188" i="283"/>
  <c r="E19" i="297"/>
  <c r="AH47" i="283"/>
  <c r="AH48" i="283" s="1"/>
  <c r="K183" i="283"/>
  <c r="G19" i="297"/>
  <c r="AF57" i="283"/>
  <c r="AH57" i="283"/>
  <c r="AH66" i="283"/>
  <c r="C139" i="297"/>
  <c r="I14" i="297"/>
  <c r="I22" i="297" s="1"/>
  <c r="AJ66" i="283"/>
  <c r="AF72" i="283"/>
  <c r="AE66" i="283"/>
  <c r="AG57" i="283"/>
  <c r="AK54" i="283"/>
  <c r="AK66" i="283"/>
  <c r="AJ63" i="283"/>
  <c r="F188" i="283"/>
  <c r="AG66" i="283"/>
  <c r="I188" i="283"/>
  <c r="AJ47" i="283"/>
  <c r="AJ48" i="283" s="1"/>
  <c r="AC121" i="297"/>
  <c r="AK63" i="283"/>
  <c r="H194" i="283"/>
  <c r="G159" i="297"/>
  <c r="AK57" i="283"/>
  <c r="AF47" i="283"/>
  <c r="AF48" i="283" s="1"/>
  <c r="J194" i="283"/>
  <c r="F183" i="283"/>
  <c r="AE72" i="283"/>
  <c r="I183" i="283"/>
  <c r="AQ123" i="297"/>
  <c r="AM123" i="297"/>
  <c r="AN123" i="297"/>
  <c r="AR123" i="297"/>
  <c r="C159" i="297"/>
  <c r="F159" i="297"/>
  <c r="E159" i="297"/>
  <c r="E167" i="297"/>
  <c r="G167" i="297"/>
  <c r="F167" i="297"/>
  <c r="C167" i="297"/>
  <c r="D167" i="297"/>
  <c r="E168" i="297"/>
  <c r="C168" i="297"/>
  <c r="G168" i="297"/>
  <c r="F168" i="297"/>
  <c r="D168" i="297"/>
  <c r="C165"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I19" i="297"/>
  <c r="AE48" i="283"/>
  <c r="H183" i="283"/>
  <c r="H184" i="283"/>
  <c r="J182" i="283"/>
  <c r="AH78" i="284"/>
  <c r="AH79" i="284"/>
  <c r="AH80" i="284"/>
  <c r="G152" i="297"/>
  <c r="G153" i="297"/>
  <c r="AG54" i="283"/>
  <c r="AH54" i="283"/>
  <c r="K182" i="283"/>
  <c r="I182" i="283" l="1"/>
  <c r="AF54"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<sst xmlns="http://schemas.openxmlformats.org/spreadsheetml/2006/main" count="5379" uniqueCount="2858">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</sst>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0327A610-4B45-4493-934F-1DFBCAC68F4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58BA24A4-9A91-4695-8AD6-0F2300B9386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B6B758E1-36ED-4A0A-878E-C7E6978A90B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E1AB45E6-A4B3-40B5-8235-F6FDEABE77A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3A106E17-31AF-4594-B2E8-677735B6C72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5371</c:v>
                </c:pt>
                <c:pt idx="1">
                  <c:v>1416</c:v>
                </c:pt>
                <c:pt idx="2">
                  <c:v>8728</c:v>
                </c:pt>
                <c:pt idx="3">
                  <c:v>5022</c:v>
                </c:pt>
                <c:pt idx="4">
                  <c:v>70284</c:v>
                </c:pt>
              </c:numCache>
            </c:numRef>
          </c:val>
          <c:extLst>
            <c:ext xmlns:c15="http://schemas.microsoft.com/office/drawing/2012/chart" uri="{02D57815-91ED-43cb-92C2-25804820EDAC}">
              <c15:datalabelsRange>
                <c15:f>'Racial Composition'!$AI$26:$AI$30</c15:f>
                <c15:dlblRangeCache>
                  <c:ptCount val="5"/>
                  <c:pt idx="0">
                    <c:v>5,371
(6%)</c:v>
                  </c:pt>
                  <c:pt idx="1">
                    <c:v>1,416
(2%)</c:v>
                  </c:pt>
                  <c:pt idx="2">
                    <c:v>8,728
(10%)</c:v>
                  </c:pt>
                  <c:pt idx="3">
                    <c:v>5,022
(6%)</c:v>
                  </c:pt>
                  <c:pt idx="4">
                    <c:v>70,284
(77%)</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120</c:v>
                </c:pt>
                <c:pt idx="1">
                  <c:v>0</c:v>
                </c:pt>
                <c:pt idx="2">
                  <c:v>105</c:v>
                </c:pt>
                <c:pt idx="3">
                  <c:v>25</c:v>
                </c:pt>
                <c:pt idx="4">
                  <c:v>1200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80</c:v>
                </c:pt>
                <c:pt idx="1">
                  <c:v>0</c:v>
                </c:pt>
                <c:pt idx="2">
                  <c:v>70</c:v>
                </c:pt>
                <c:pt idx="3">
                  <c:v>90</c:v>
                </c:pt>
                <c:pt idx="4">
                  <c:v>2000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505</c:v>
                </c:pt>
                <c:pt idx="1">
                  <c:v>45</c:v>
                </c:pt>
                <c:pt idx="2">
                  <c:v>360</c:v>
                </c:pt>
                <c:pt idx="3">
                  <c:v>275</c:v>
                </c:pt>
                <c:pt idx="4">
                  <c:v>11755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20</c:v>
                </c:pt>
                <c:pt idx="3">
                  <c:v>0</c:v>
                </c:pt>
                <c:pt idx="4">
                  <c:v>75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655</c:v>
                </c:pt>
                <c:pt idx="1">
                  <c:v>1660</c:v>
                </c:pt>
                <c:pt idx="2">
                  <c:v>5965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600</c:v>
                </c:pt>
                <c:pt idx="1">
                  <c:v>1325</c:v>
                </c:pt>
                <c:pt idx="2">
                  <c:v>5565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1055</c:v>
                </c:pt>
                <c:pt idx="1">
                  <c:v>2745</c:v>
                </c:pt>
                <c:pt idx="2">
                  <c:v>19170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120</c:v>
                </c:pt>
                <c:pt idx="1">
                  <c:v>215</c:v>
                </c:pt>
                <c:pt idx="2">
                  <c:v>230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105</c:v>
                </c:pt>
                <c:pt idx="1">
                  <c:v>250</c:v>
                </c:pt>
                <c:pt idx="2">
                  <c:v>1200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70</c:v>
                </c:pt>
                <c:pt idx="1">
                  <c:v>240</c:v>
                </c:pt>
                <c:pt idx="2">
                  <c:v>2000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360</c:v>
                </c:pt>
                <c:pt idx="1">
                  <c:v>1185</c:v>
                </c:pt>
                <c:pt idx="2">
                  <c:v>11755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20</c:v>
                </c:pt>
                <c:pt idx="1">
                  <c:v>20</c:v>
                </c:pt>
                <c:pt idx="2">
                  <c:v>75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550</c:v>
                </c:pt>
                <c:pt idx="1">
                  <c:v>1410</c:v>
                </c:pt>
                <c:pt idx="2">
                  <c:v>4765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530</c:v>
                </c:pt>
                <c:pt idx="1">
                  <c:v>1085</c:v>
                </c:pt>
                <c:pt idx="2">
                  <c:v>3565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695</c:v>
                </c:pt>
                <c:pt idx="1">
                  <c:v>1560</c:v>
                </c:pt>
                <c:pt idx="2">
                  <c:v>7415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100</c:v>
                </c:pt>
                <c:pt idx="1">
                  <c:v>195</c:v>
                </c:pt>
                <c:pt idx="2">
                  <c:v>155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0.26954732510288065</c:v>
                </c:pt>
                <c:pt idx="1">
                  <c:v>0.27922624053826745</c:v>
                </c:pt>
                <c:pt idx="2">
                  <c:v>0.19285483349498869</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0.24691358024691357</c:v>
                </c:pt>
                <c:pt idx="1">
                  <c:v>0.22287636669470143</c:v>
                </c:pt>
                <c:pt idx="2">
                  <c:v>0.17992240543161978</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0.43415637860082307</c:v>
                </c:pt>
                <c:pt idx="1">
                  <c:v>0.46173254835996635</c:v>
                </c:pt>
                <c:pt idx="2">
                  <c:v>0.61978661493695442</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4.9382716049382713E-2</c:v>
                </c:pt>
                <c:pt idx="1">
                  <c:v>3.6164844407064758E-2</c:v>
                </c:pt>
                <c:pt idx="2">
                  <c:v>7.4361461364371162E-3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0.25617283950617287</c:v>
                </c:pt>
                <c:pt idx="1">
                  <c:v>0.38157894736842107</c:v>
                </c:pt>
                <c:pt idx="2">
                  <c:v>0.26954732510288065</c:v>
                </c:pt>
                <c:pt idx="3">
                  <c:v>0.29372937293729373</c:v>
                </c:pt>
                <c:pt idx="4">
                  <c:v>0.27922624053826745</c:v>
                </c:pt>
                <c:pt idx="5">
                  <c:v>0.19285483349498869</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0.11419753086419752</c:v>
                </c:pt>
                <c:pt idx="1">
                  <c:v>0.10526315789473684</c:v>
                </c:pt>
                <c:pt idx="2">
                  <c:v>0.24691358024691357</c:v>
                </c:pt>
                <c:pt idx="3">
                  <c:v>0.33003300330033003</c:v>
                </c:pt>
                <c:pt idx="4">
                  <c:v>0.22287636669470143</c:v>
                </c:pt>
                <c:pt idx="5">
                  <c:v>0.17992240543161978</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0.58333333333333337</c:v>
                </c:pt>
                <c:pt idx="1">
                  <c:v>0.51315789473684215</c:v>
                </c:pt>
                <c:pt idx="2">
                  <c:v>0.43415637860082307</c:v>
                </c:pt>
                <c:pt idx="3">
                  <c:v>0.36303630363036304</c:v>
                </c:pt>
                <c:pt idx="4">
                  <c:v>0.46173254835996635</c:v>
                </c:pt>
                <c:pt idx="5">
                  <c:v>0.61978661493695442</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4.6296296296296294E-2</c:v>
                </c:pt>
                <c:pt idx="1">
                  <c:v>0</c:v>
                </c:pt>
                <c:pt idx="2">
                  <c:v>4.9382716049382713E-2</c:v>
                </c:pt>
                <c:pt idx="3">
                  <c:v>1.3201320132013201E-2</c:v>
                </c:pt>
                <c:pt idx="4">
                  <c:v>3.6164844407064758E-2</c:v>
                </c:pt>
                <c:pt idx="5">
                  <c:v>7.4361461364371162E-3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0.26954732510288065</c:v>
                </c:pt>
                <c:pt idx="1">
                  <c:v>0.27922624053826745</c:v>
                </c:pt>
                <c:pt idx="2">
                  <c:v>0.19285483349498869</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0.24691358024691357</c:v>
                </c:pt>
                <c:pt idx="1">
                  <c:v>0.22287636669470143</c:v>
                </c:pt>
                <c:pt idx="2">
                  <c:v>0.17992240543161978</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0.43415637860082307</c:v>
                </c:pt>
                <c:pt idx="1">
                  <c:v>0.46173254835996635</c:v>
                </c:pt>
                <c:pt idx="2">
                  <c:v>0.61978661493695442</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4.9382716049382713E-2</c:v>
                </c:pt>
                <c:pt idx="1">
                  <c:v>3.6164844407064758E-2</c:v>
                </c:pt>
                <c:pt idx="2">
                  <c:v>7.4361461364371162E-3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0.29411764705882354</c:v>
                </c:pt>
                <c:pt idx="1">
                  <c:v>0.33215547703180209</c:v>
                </c:pt>
                <c:pt idx="2">
                  <c:v>0.29977980497011641</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0.28342245989304815</c:v>
                </c:pt>
                <c:pt idx="1">
                  <c:v>0.25559481743227325</c:v>
                </c:pt>
                <c:pt idx="2">
                  <c:v>0.22428436615287825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0.37165775401069517</c:v>
                </c:pt>
                <c:pt idx="1">
                  <c:v>0.36749116607773852</c:v>
                </c:pt>
                <c:pt idx="2">
                  <c:v>0.46649889902485059</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5.3475935828877004E-2</c:v>
                </c:pt>
                <c:pt idx="1">
                  <c:v>4.5936395759717315E-2</c:v>
                </c:pt>
                <c:pt idx="2">
                  <c:v>9.7514941805599241E-3</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0.29784065524944153</c:v>
                </c:pt>
                <c:pt idx="1">
                  <c:v>8.8715757728072386E-2</c:v>
                </c:pt>
                <c:pt idx="3">
                  <c:v>0.26483533161329487</c:v>
                </c:pt>
                <c:pt idx="4">
                  <c:v>0.12178702570379436</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0.17101017622238768</c:v>
                </c:pt>
                <c:pt idx="1">
                  <c:v>0.19703443076149788</c:v>
                </c:pt>
                <c:pt idx="3">
                  <c:v>0.17938989224465018</c:v>
                </c:pt>
                <c:pt idx="4">
                  <c:v>0.2250611995104039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0.22536609580541078</c:v>
                </c:pt>
                <c:pt idx="1">
                  <c:v>0.58708218145262625</c:v>
                </c:pt>
                <c:pt idx="3">
                  <c:v>0.22218849597814538</c:v>
                </c:pt>
                <c:pt idx="4">
                  <c:v>0.53396572827417377</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0.30578307272276001</c:v>
                </c:pt>
                <c:pt idx="1">
                  <c:v>0.12716763005780346</c:v>
                </c:pt>
                <c:pt idx="3">
                  <c:v>0.33343451206556379</c:v>
                </c:pt>
                <c:pt idx="4">
                  <c:v>0.11888004895960833</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820</c:v>
                </c:pt>
                <c:pt idx="1">
                  <c:v>55</c:v>
                </c:pt>
                <c:pt idx="2">
                  <c:v>440</c:v>
                </c:pt>
                <c:pt idx="3">
                  <c:v>14425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260</c:v>
                </c:pt>
                <c:pt idx="1">
                  <c:v>1885</c:v>
                </c:pt>
                <c:pt idx="2">
                  <c:v>1090</c:v>
                </c:pt>
                <c:pt idx="3">
                  <c:v>15465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2013020D-0A73-40E8-9EF0-C97F9C0177D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3CD2C8BB-07A7-4590-AED4-40B8BE8B498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2255C6EB-7C33-4EC1-AECF-DAE97DE52E0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FB5CF6B8-21AD-4217-B387-B2AE0DBC478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3705</c:v>
                </c:pt>
                <c:pt idx="1">
                  <c:v>4770</c:v>
                </c:pt>
                <c:pt idx="2">
                  <c:v>3975</c:v>
                </c:pt>
                <c:pt idx="3">
                  <c:v>18350</c:v>
                </c:pt>
              </c:numCache>
            </c:numRef>
          </c:val>
          <c:smooth val="0"/>
          <c:extLst>
            <c:ext xmlns:c15="http://schemas.microsoft.com/office/drawing/2012/chart" uri="{02D57815-91ED-43cb-92C2-25804820EDAC}">
              <c15:datalabelsRange>
                <c15:f>'Rental Affordability'!$AI$78:$AI$81</c15:f>
                <c15:dlblRangeCache>
                  <c:ptCount val="4"/>
                  <c:pt idx="0">
                    <c:v>Difference:
-560 units</c:v>
                  </c:pt>
                  <c:pt idx="1">
                    <c:v>Difference:
+1,830 units</c:v>
                  </c:pt>
                  <c:pt idx="2">
                    <c:v>Difference:
+650 units</c:v>
                  </c:pt>
                  <c:pt idx="3">
                    <c:v>Difference:
+1,040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Bellingham</c:v>
                </c:pt>
                <c:pt idx="1">
                  <c:v>Whatcom County</c:v>
                </c:pt>
              </c:strCache>
            </c:strRef>
          </c:cat>
          <c:val>
            <c:numRef>
              <c:f>('Racial Composition'!$AH$30,'Racial Composition'!$AN$30)</c:f>
              <c:numCache>
                <c:formatCode>0%</c:formatCode>
                <c:ptCount val="2"/>
                <c:pt idx="0">
                  <c:v>0.77387388379339583</c:v>
                </c:pt>
                <c:pt idx="1">
                  <c:v>0.78087896035414939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Bellingham</c:v>
                </c:pt>
                <c:pt idx="1">
                  <c:v>Whatcom County</c:v>
                </c:pt>
              </c:strCache>
            </c:strRef>
          </c:cat>
          <c:val>
            <c:numRef>
              <c:f>('Racial Composition'!$AH$29,'Racial Composition'!$AN$29)</c:f>
              <c:numCache>
                <c:formatCode>0%</c:formatCode>
                <c:ptCount val="2"/>
                <c:pt idx="0">
                  <c:v>5.5295581418394427E-2</c:v>
                </c:pt>
                <c:pt idx="1">
                  <c:v>7.2776100259198895E-2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Bellingham</c:v>
                </c:pt>
                <c:pt idx="1">
                  <c:v>Whatcom County</c:v>
                </c:pt>
              </c:strCache>
            </c:strRef>
          </c:cat>
          <c:val>
            <c:numRef>
              <c:f>('Racial Composition'!$AH$28,'Racial Composition'!$AN$28)</c:f>
              <c:numCache>
                <c:formatCode>0%</c:formatCode>
                <c:ptCount val="2"/>
                <c:pt idx="0">
                  <c:v>9.6101121987205607E-2</c:v>
                </c:pt>
                <c:pt idx="1">
                  <c:v>9.6794306531633845E-2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Bellingham</c:v>
                </c:pt>
                <c:pt idx="1">
                  <c:v>Whatcom County</c:v>
                </c:pt>
              </c:strCache>
            </c:strRef>
          </c:cat>
          <c:val>
            <c:numRef>
              <c:f>('Racial Composition'!$AH$27,'Racial Composition'!$AN$27)</c:f>
              <c:numCache>
                <c:formatCode>0%</c:formatCode>
                <c:ptCount val="2"/>
                <c:pt idx="0">
                  <c:v>1.5591107783442155E-2</c:v>
                </c:pt>
                <c:pt idx="1">
                  <c:v>9.4549697601296889E-3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Bellingham</c:v>
                </c:pt>
                <c:pt idx="1">
                  <c:v>Whatcom County</c:v>
                </c:pt>
              </c:strCache>
            </c:strRef>
          </c:cat>
          <c:val>
            <c:numRef>
              <c:f>('Racial Composition'!$AH$26,'Racial Composition'!$AN$26)</c:f>
              <c:numCache>
                <c:formatCode>0%</c:formatCode>
                <c:ptCount val="2"/>
                <c:pt idx="0">
                  <c:v>5.9138305017562016E-2</c:v>
                </c:pt>
                <c:pt idx="1">
                  <c:v>4.009566309488817E-2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6000</c:v>
                </c:pt>
                <c:pt idx="1">
                  <c:v>3445</c:v>
                </c:pt>
                <c:pt idx="2">
                  <c:v>4540</c:v>
                </c:pt>
                <c:pt idx="3">
                  <c:v>6160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1765</c:v>
                </c:pt>
                <c:pt idx="1">
                  <c:v>3920</c:v>
                </c:pt>
                <c:pt idx="2">
                  <c:v>11680</c:v>
                </c:pt>
                <c:pt idx="3">
                  <c:v>2530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2F657AEE-8444-4008-B620-F071C6AC4B3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5925138A-D2A4-46F0-9DAC-D537B8E9109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C5ADB04C-FC97-48A6-837E-9254B45D32A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6B9C6574-E899-406A-9F9C-AF8DBA2259F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6600</c:v>
                </c:pt>
                <c:pt idx="1">
                  <c:v>4520</c:v>
                </c:pt>
                <c:pt idx="2">
                  <c:v>12280</c:v>
                </c:pt>
                <c:pt idx="3">
                  <c:v>6760</c:v>
                </c:pt>
              </c:numCache>
            </c:numRef>
          </c:val>
          <c:smooth val="0"/>
          <c:extLst>
            <c:ext xmlns:c15="http://schemas.microsoft.com/office/drawing/2012/chart" uri="{02D57815-91ED-43cb-92C2-25804820EDAC}">
              <c15:datalabelsRange>
                <c15:f>'Rental Affordability'!$AI$35:$AI$38</c15:f>
                <c15:dlblRangeCache>
                  <c:ptCount val="4"/>
                  <c:pt idx="0">
                    <c:v>Shortfall:
-4,235 units</c:v>
                  </c:pt>
                  <c:pt idx="1">
                    <c:v>Surplus: 
+475 units</c:v>
                  </c:pt>
                  <c:pt idx="2">
                    <c:v>Surplus: 
+7,140 units</c:v>
                  </c:pt>
                  <c:pt idx="3">
                    <c:v>Shortfall:
-3,630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0.26769230769230767</c:v>
                </c:pt>
                <c:pt idx="1">
                  <c:v>0.39473684210526316</c:v>
                </c:pt>
                <c:pt idx="2">
                  <c:v>0.34979423868312759</c:v>
                </c:pt>
                <c:pt idx="3">
                  <c:v>0.27536231884057971</c:v>
                </c:pt>
                <c:pt idx="4">
                  <c:v>0.17092496765847348</c:v>
                </c:pt>
                <c:pt idx="5">
                  <c:v>0.19677244372118252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0.13230769230769232</c:v>
                </c:pt>
                <c:pt idx="1">
                  <c:v>6.5789473684210523E-2</c:v>
                </c:pt>
                <c:pt idx="2">
                  <c:v>0.15843621399176955</c:v>
                </c:pt>
                <c:pt idx="3">
                  <c:v>0.50724637681159424</c:v>
                </c:pt>
                <c:pt idx="4">
                  <c:v>0.1214424320827943</c:v>
                </c:pt>
                <c:pt idx="5">
                  <c:v>0.12883102793599133</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8.3076923076923076E-2</c:v>
                </c:pt>
                <c:pt idx="1">
                  <c:v>5.2631578947368418E-2</c:v>
                </c:pt>
                <c:pt idx="2">
                  <c:v>0.19341563786008231</c:v>
                </c:pt>
                <c:pt idx="3">
                  <c:v>0</c:v>
                </c:pt>
                <c:pt idx="4">
                  <c:v>0.19534282018111254</c:v>
                </c:pt>
                <c:pt idx="5">
                  <c:v>0.18727963113642529</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0.14153846153846153</c:v>
                </c:pt>
                <c:pt idx="1">
                  <c:v>0.26315789473684209</c:v>
                </c:pt>
                <c:pt idx="2">
                  <c:v>9.4650205761316872E-2</c:v>
                </c:pt>
                <c:pt idx="3">
                  <c:v>0</c:v>
                </c:pt>
                <c:pt idx="4">
                  <c:v>0.11853169469598965</c:v>
                </c:pt>
                <c:pt idx="5">
                  <c:v>0.11662598318416056</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0.37538461538461537</c:v>
                </c:pt>
                <c:pt idx="1">
                  <c:v>0.22368421052631579</c:v>
                </c:pt>
                <c:pt idx="2">
                  <c:v>0.20370370370370369</c:v>
                </c:pt>
                <c:pt idx="3">
                  <c:v>0.21739130434782608</c:v>
                </c:pt>
                <c:pt idx="4">
                  <c:v>0.39375808538162999</c:v>
                </c:pt>
                <c:pt idx="5">
                  <c:v>0.37049091402224033</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180</c:v>
                </c:pt>
                <c:pt idx="1">
                  <c:v>435</c:v>
                </c:pt>
                <c:pt idx="2">
                  <c:v>150</c:v>
                </c:pt>
                <c:pt idx="3">
                  <c:v>850</c:v>
                </c:pt>
                <c:pt idx="4">
                  <c:v>19</c:v>
                </c:pt>
                <c:pt idx="5">
                  <c:v>5285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115</c:v>
                </c:pt>
                <c:pt idx="1">
                  <c:v>215</c:v>
                </c:pt>
                <c:pt idx="2">
                  <c:v>25</c:v>
                </c:pt>
                <c:pt idx="3">
                  <c:v>385</c:v>
                </c:pt>
                <c:pt idx="4">
                  <c:v>35</c:v>
                </c:pt>
                <c:pt idx="5">
                  <c:v>3755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55</c:v>
                </c:pt>
                <c:pt idx="1">
                  <c:v>135</c:v>
                </c:pt>
                <c:pt idx="2">
                  <c:v>20</c:v>
                </c:pt>
                <c:pt idx="3">
                  <c:v>470</c:v>
                </c:pt>
                <c:pt idx="4">
                  <c:v>0</c:v>
                </c:pt>
                <c:pt idx="5">
                  <c:v>6040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25</c:v>
                </c:pt>
                <c:pt idx="1">
                  <c:v>230</c:v>
                </c:pt>
                <c:pt idx="2">
                  <c:v>100</c:v>
                </c:pt>
                <c:pt idx="3">
                  <c:v>230</c:v>
                </c:pt>
                <c:pt idx="4">
                  <c:v>0</c:v>
                </c:pt>
                <c:pt idx="5">
                  <c:v>3665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50</c:v>
                </c:pt>
                <c:pt idx="1">
                  <c:v>610</c:v>
                </c:pt>
                <c:pt idx="2">
                  <c:v>85</c:v>
                </c:pt>
                <c:pt idx="3">
                  <c:v>495</c:v>
                </c:pt>
                <c:pt idx="4">
                  <c:v>15</c:v>
                </c:pt>
                <c:pt idx="5">
                  <c:v>12175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0.34979423868312759</c:v>
                </c:pt>
                <c:pt idx="1">
                  <c:v>0.31818181818181818</c:v>
                </c:pt>
                <c:pt idx="2">
                  <c:v>0.17092496765847348</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0.15843621399176955</c:v>
                </c:pt>
                <c:pt idx="1">
                  <c:v>0.17329545454545456</c:v>
                </c:pt>
                <c:pt idx="2">
                  <c:v>0.1214424320827943</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0.19341563786008231</c:v>
                </c:pt>
                <c:pt idx="1">
                  <c:v>0.11221590909090909</c:v>
                </c:pt>
                <c:pt idx="2">
                  <c:v>0.19534282018111254</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9.4650205761316872E-2</c:v>
                </c:pt>
                <c:pt idx="1">
                  <c:v>0.11505681818181818</c:v>
                </c:pt>
                <c:pt idx="2">
                  <c:v>0.11853169469598965</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0.20370370370370369</c:v>
                </c:pt>
                <c:pt idx="1">
                  <c:v>0.28125</c:v>
                </c:pt>
                <c:pt idx="2">
                  <c:v>0.39375808538162999</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850</c:v>
                </c:pt>
                <c:pt idx="1">
                  <c:v>1120</c:v>
                </c:pt>
                <c:pt idx="2">
                  <c:v>5285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385</c:v>
                </c:pt>
                <c:pt idx="1">
                  <c:v>610</c:v>
                </c:pt>
                <c:pt idx="2">
                  <c:v>3755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470</c:v>
                </c:pt>
                <c:pt idx="1">
                  <c:v>395</c:v>
                </c:pt>
                <c:pt idx="2">
                  <c:v>6040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230</c:v>
                </c:pt>
                <c:pt idx="1">
                  <c:v>405</c:v>
                </c:pt>
                <c:pt idx="2">
                  <c:v>3665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495</c:v>
                </c:pt>
                <c:pt idx="1">
                  <c:v>990</c:v>
                </c:pt>
                <c:pt idx="2">
                  <c:v>12175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0.17878250591016548</c:v>
                </c:pt>
                <c:pt idx="2">
                  <c:v>0.19677244372118252</c:v>
                </c:pt>
                <c:pt idx="4">
                  <c:v>0.22467320261437909</c:v>
                </c:pt>
                <c:pt idx="5">
                  <c:v>0.26769230769230767</c:v>
                </c:pt>
                <c:pt idx="7">
                  <c:v>0.5376344086021505</c:v>
                </c:pt>
                <c:pt idx="8">
                  <c:v>0.39473684210526316</c:v>
                </c:pt>
                <c:pt idx="10">
                  <c:v>0.29076086956521741</c:v>
                </c:pt>
                <c:pt idx="11">
                  <c:v>0.34979423868312759</c:v>
                </c:pt>
                <c:pt idx="13">
                  <c:v>0.25047801147227533</c:v>
                </c:pt>
                <c:pt idx="14">
                  <c:v>0.35313531353135313</c:v>
                </c:pt>
                <c:pt idx="16">
                  <c:v>0.16231633535004322</c:v>
                </c:pt>
                <c:pt idx="17">
                  <c:v>0.17092496765847348</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0.1385933806146572</c:v>
                </c:pt>
                <c:pt idx="2">
                  <c:v>0.12883102793599133</c:v>
                </c:pt>
                <c:pt idx="4">
                  <c:v>0.10620915032679738</c:v>
                </c:pt>
                <c:pt idx="5">
                  <c:v>0.13230769230769232</c:v>
                </c:pt>
                <c:pt idx="7">
                  <c:v>0.12544802867383512</c:v>
                </c:pt>
                <c:pt idx="8">
                  <c:v>6.5789473684210523E-2</c:v>
                </c:pt>
                <c:pt idx="10">
                  <c:v>8.4239130434782608E-2</c:v>
                </c:pt>
                <c:pt idx="11">
                  <c:v>0.15843621399176955</c:v>
                </c:pt>
                <c:pt idx="13">
                  <c:v>0.27405991077119185</c:v>
                </c:pt>
                <c:pt idx="14">
                  <c:v>0.24422442244224424</c:v>
                </c:pt>
                <c:pt idx="16">
                  <c:v>0.1362143474503025</c:v>
                </c:pt>
                <c:pt idx="17">
                  <c:v>0.1214424320827943</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0.17804373522458627</c:v>
                </c:pt>
                <c:pt idx="2">
                  <c:v>0.18727963113642529</c:v>
                </c:pt>
                <c:pt idx="4">
                  <c:v>0.11437908496732026</c:v>
                </c:pt>
                <c:pt idx="5">
                  <c:v>8.3076923076923076E-2</c:v>
                </c:pt>
                <c:pt idx="7">
                  <c:v>6.8100358422939072E-2</c:v>
                </c:pt>
                <c:pt idx="8">
                  <c:v>5.2631578947368418E-2</c:v>
                </c:pt>
                <c:pt idx="10">
                  <c:v>0.3016304347826087</c:v>
                </c:pt>
                <c:pt idx="11">
                  <c:v>0.19341563786008231</c:v>
                </c:pt>
                <c:pt idx="13">
                  <c:v>0.17909496494582536</c:v>
                </c:pt>
                <c:pt idx="14">
                  <c:v>0.15841584158415842</c:v>
                </c:pt>
                <c:pt idx="16">
                  <c:v>0.17389801210025929</c:v>
                </c:pt>
                <c:pt idx="17">
                  <c:v>0.19534282018111254</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8.2446808510638292E-2</c:v>
                </c:pt>
                <c:pt idx="2">
                  <c:v>0.11662598318416056</c:v>
                </c:pt>
                <c:pt idx="4">
                  <c:v>0.10130718954248366</c:v>
                </c:pt>
                <c:pt idx="5">
                  <c:v>0.14153846153846153</c:v>
                </c:pt>
                <c:pt idx="7">
                  <c:v>0</c:v>
                </c:pt>
                <c:pt idx="8">
                  <c:v>0.26315789473684209</c:v>
                </c:pt>
                <c:pt idx="10">
                  <c:v>6.5217391304347824E-2</c:v>
                </c:pt>
                <c:pt idx="11">
                  <c:v>9.4650205761316872E-2</c:v>
                </c:pt>
                <c:pt idx="13">
                  <c:v>8.6042065009560229E-2</c:v>
                </c:pt>
                <c:pt idx="14">
                  <c:v>4.9504950495049507E-2</c:v>
                </c:pt>
                <c:pt idx="16">
                  <c:v>8.3491789109766637E-2</c:v>
                </c:pt>
                <c:pt idx="17">
                  <c:v>0.11853169469598965</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0.4221335697399527</c:v>
                </c:pt>
                <c:pt idx="2">
                  <c:v>0.37049091402224033</c:v>
                </c:pt>
                <c:pt idx="4">
                  <c:v>0.45343137254901961</c:v>
                </c:pt>
                <c:pt idx="5">
                  <c:v>0.37538461538461537</c:v>
                </c:pt>
                <c:pt idx="7">
                  <c:v>0.26881720430107525</c:v>
                </c:pt>
                <c:pt idx="8">
                  <c:v>0.22368421052631579</c:v>
                </c:pt>
                <c:pt idx="10">
                  <c:v>0.25815217391304346</c:v>
                </c:pt>
                <c:pt idx="11">
                  <c:v>0.20370370370370369</c:v>
                </c:pt>
                <c:pt idx="13">
                  <c:v>0.21032504780114722</c:v>
                </c:pt>
                <c:pt idx="14">
                  <c:v>0.19471947194719472</c:v>
                </c:pt>
                <c:pt idx="16">
                  <c:v>0.44407951598962836</c:v>
                </c:pt>
                <c:pt idx="17">
                  <c:v>0.39375808538162999</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705</c:v>
                </c:pt>
                <c:pt idx="1">
                  <c:v>45</c:v>
                </c:pt>
                <c:pt idx="2">
                  <c:v>555</c:v>
                </c:pt>
                <c:pt idx="3">
                  <c:v>390</c:v>
                </c:pt>
                <c:pt idx="4">
                  <c:v>15025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915</c:v>
                </c:pt>
                <c:pt idx="1">
                  <c:v>335</c:v>
                </c:pt>
                <c:pt idx="2">
                  <c:v>1870</c:v>
                </c:pt>
                <c:pt idx="3">
                  <c:v>1125</c:v>
                </c:pt>
                <c:pt idx="4">
                  <c:v>15895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555</c:v>
                </c:pt>
                <c:pt idx="1">
                  <c:v>1140</c:v>
                </c:pt>
                <c:pt idx="2">
                  <c:v>15025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1870</c:v>
                </c:pt>
                <c:pt idx="1">
                  <c:v>2375</c:v>
                </c:pt>
                <c:pt idx="2">
                  <c:v>15895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0.43518518518518517</c:v>
                </c:pt>
                <c:pt idx="1">
                  <c:v>0.11842105263157894</c:v>
                </c:pt>
                <c:pt idx="2">
                  <c:v>0.22886597938144329</c:v>
                </c:pt>
                <c:pt idx="3">
                  <c:v>0.25742574257425743</c:v>
                </c:pt>
                <c:pt idx="4">
                  <c:v>0.48593143596377747</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0.56481481481481477</c:v>
                </c:pt>
                <c:pt idx="1">
                  <c:v>0.88157894736842102</c:v>
                </c:pt>
                <c:pt idx="2">
                  <c:v>0.77113402061855674</c:v>
                </c:pt>
                <c:pt idx="3">
                  <c:v>0.74257425742574257</c:v>
                </c:pt>
                <c:pt idx="4">
                  <c:v>0.51406856403622248</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0.22886597938144329</c:v>
                </c:pt>
                <c:pt idx="1">
                  <c:v>0.32432432432432434</c:v>
                </c:pt>
                <c:pt idx="2">
                  <c:v>0.48593143596377747</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0.77113402061855674</c:v>
                </c:pt>
                <c:pt idx="1">
                  <c:v>0.67567567567567566</c:v>
                </c:pt>
                <c:pt idx="2">
                  <c:v>0.51406856403622248</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Bellingham</c:v>
                  </c:pt>
                  <c:pt idx="2">
                    <c:v>Whatcom County</c:v>
                  </c:pt>
                </c:lvl>
              </c:multiLvlStrCache>
            </c:multiLvlStrRef>
          </c:cat>
          <c:val>
            <c:numRef>
              <c:f>('Racial Composition'!$AG$39:$AH$39,'Racial Composition'!$AM$39:$AN$39)</c:f>
              <c:numCache>
                <c:formatCode>0%</c:formatCode>
                <c:ptCount val="4"/>
                <c:pt idx="0">
                  <c:v>0.79107590663580252</c:v>
                </c:pt>
                <c:pt idx="1">
                  <c:v>0.77387388379339583</c:v>
                </c:pt>
                <c:pt idx="2">
                  <c:v>0.80291163689039113</c:v>
                </c:pt>
                <c:pt idx="3">
                  <c:v>0.78087896035414939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Bellingham</c:v>
                  </c:pt>
                  <c:pt idx="2">
                    <c:v>Whatcom County</c:v>
                  </c:pt>
                </c:lvl>
              </c:multiLvlStrCache>
            </c:multiLvlStrRef>
          </c:cat>
          <c:val>
            <c:numRef>
              <c:f>('Racial Composition'!$AG$38:$AH$38,'Racial Composition'!$AM$38:$AN$38)</c:f>
              <c:numCache>
                <c:formatCode>0%</c:formatCode>
                <c:ptCount val="4"/>
                <c:pt idx="0">
                  <c:v>0.12809847608024691</c:v>
                </c:pt>
                <c:pt idx="1">
                  <c:v>0.13002499421939862</c:v>
                </c:pt>
                <c:pt idx="2">
                  <c:v>0.11002897151134716</c:v>
                </c:pt>
                <c:pt idx="3">
                  <c:v>0.12232673311421674</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Bellingham</c:v>
                  </c:pt>
                  <c:pt idx="2">
                    <c:v>Whatcom County</c:v>
                  </c:pt>
                </c:lvl>
              </c:multiLvlStrCache>
            </c:multiLvlStrRef>
          </c:cat>
          <c:val>
            <c:numRef>
              <c:f>('Racial Composition'!$AG$37:$AH$37,'Racial Composition'!$AM$37:$AN$37)</c:f>
              <c:numCache>
                <c:formatCode>0%</c:formatCode>
                <c:ptCount val="4"/>
                <c:pt idx="0">
                  <c:v>8.0825617283950615E-2</c:v>
                </c:pt>
                <c:pt idx="1">
                  <c:v>9.6101121987205607E-2</c:v>
                </c:pt>
                <c:pt idx="2">
                  <c:v>8.7059391598261704E-2</c:v>
                </c:pt>
                <c:pt idx="3">
                  <c:v>9.6794306531633845E-2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C42D369F-71DC-4975-8557-6FC352F34C0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BF3EBB4E-F930-41BC-BCF1-20A79C87F86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D4CB64E9-E7AB-4DBE-85BA-85D48C71711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8728</c:v>
                </c:pt>
                <c:pt idx="1">
                  <c:v>11809</c:v>
                </c:pt>
                <c:pt idx="2">
                  <c:v>70284</c:v>
                </c:pt>
              </c:numCache>
            </c:numRef>
          </c:val>
          <c:extLst>
            <c:ext xmlns:c15="http://schemas.microsoft.com/office/drawing/2012/chart" uri="{02D57815-91ED-43cb-92C2-25804820EDAC}">
              <c15:datalabelsRange>
                <c15:f>'Racial Composition'!$AI$37:$AI$39</c15:f>
                <c15:dlblRangeCache>
                  <c:ptCount val="3"/>
                  <c:pt idx="0">
                    <c:v>8,728
(10%)</c:v>
                  </c:pt>
                  <c:pt idx="1">
                    <c:v>11,809
(13%)</c:v>
                  </c:pt>
                  <c:pt idx="2">
                    <c:v>70,284
(77%)</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Bellingham</c:v>
                </c:pt>
                <c:pt idx="1">
                  <c:v>Whatcom County</c:v>
                </c:pt>
              </c:strCache>
            </c:strRef>
          </c:cat>
          <c:val>
            <c:numRef>
              <c:f>('Racial Composition'!$AH$39,'Racial Composition'!$AN$39)</c:f>
              <c:numCache>
                <c:formatCode>0%</c:formatCode>
                <c:ptCount val="2"/>
                <c:pt idx="0">
                  <c:v>0.77387388379339583</c:v>
                </c:pt>
                <c:pt idx="1">
                  <c:v>0.78087896035414939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Bellingham</c:v>
                </c:pt>
                <c:pt idx="1">
                  <c:v>Whatcom County</c:v>
                </c:pt>
              </c:strCache>
            </c:strRef>
          </c:cat>
          <c:val>
            <c:numRef>
              <c:f>('Racial Composition'!$AH$38,'Racial Composition'!$AN$38)</c:f>
              <c:numCache>
                <c:formatCode>0%</c:formatCode>
                <c:ptCount val="2"/>
                <c:pt idx="0">
                  <c:v>0.13002499421939862</c:v>
                </c:pt>
                <c:pt idx="1">
                  <c:v>0.12232673311421674</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Bellingham</c:v>
                </c:pt>
                <c:pt idx="1">
                  <c:v>Whatcom County</c:v>
                </c:pt>
              </c:strCache>
            </c:strRef>
          </c:cat>
          <c:val>
            <c:numRef>
              <c:f>('Racial Composition'!$AH$37,'Racial Composition'!$AN$37)</c:f>
              <c:numCache>
                <c:formatCode>0%</c:formatCode>
                <c:ptCount val="2"/>
                <c:pt idx="0">
                  <c:v>9.6101121987205607E-2</c:v>
                </c:pt>
                <c:pt idx="1">
                  <c:v>9.6794306531633845E-2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415</c:v>
                </c:pt>
                <c:pt idx="1">
                  <c:v>145</c:v>
                </c:pt>
                <c:pt idx="2">
                  <c:v>655</c:v>
                </c:pt>
                <c:pt idx="3">
                  <c:v>445</c:v>
                </c:pt>
                <c:pt idx="4">
                  <c:v>5965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185</c:v>
                </c:pt>
                <c:pt idx="1">
                  <c:v>40</c:v>
                </c:pt>
                <c:pt idx="2">
                  <c:v>600</c:v>
                </c:pt>
                <c:pt idx="3">
                  <c:v>500</c:v>
                </c:pt>
                <c:pt idx="4">
                  <c:v>5565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945</c:v>
                </c:pt>
                <c:pt idx="1">
                  <c:v>195</c:v>
                </c:pt>
                <c:pt idx="2">
                  <c:v>1055</c:v>
                </c:pt>
                <c:pt idx="3">
                  <c:v>550</c:v>
                </c:pt>
                <c:pt idx="4">
                  <c:v>19170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75</c:v>
                </c:pt>
                <c:pt idx="1">
                  <c:v>0</c:v>
                </c:pt>
                <c:pt idx="2">
                  <c:v>120</c:v>
                </c:pt>
                <c:pt idx="3">
                  <c:v>20</c:v>
                </c:pt>
                <c:pt idx="4">
                  <c:v>230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295</c:v>
                </c:pt>
                <c:pt idx="1">
                  <c:v>145</c:v>
                </c:pt>
                <c:pt idx="2">
                  <c:v>550</c:v>
                </c:pt>
                <c:pt idx="3">
                  <c:v>420</c:v>
                </c:pt>
                <c:pt idx="4">
                  <c:v>4765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105</c:v>
                </c:pt>
                <c:pt idx="1">
                  <c:v>40</c:v>
                </c:pt>
                <c:pt idx="2">
                  <c:v>530</c:v>
                </c:pt>
                <c:pt idx="3">
                  <c:v>410</c:v>
                </c:pt>
                <c:pt idx="4">
                  <c:v>3565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440</c:v>
                </c:pt>
                <c:pt idx="1">
                  <c:v>150</c:v>
                </c:pt>
                <c:pt idx="2">
                  <c:v>695</c:v>
                </c:pt>
                <c:pt idx="3">
                  <c:v>275</c:v>
                </c:pt>
                <c:pt idx="4">
                  <c:v>7415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75</c:v>
                </c:pt>
                <c:pt idx="1">
                  <c:v>0</c:v>
                </c:pt>
                <c:pt idx="2">
                  <c:v>100</c:v>
                </c:pt>
                <c:pt idx="3">
                  <c:v>20</c:v>
                </c:pt>
                <c:pt idx="4">
                  <c:v>155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0.25617283950617287</c:v>
                </c:pt>
                <c:pt idx="1">
                  <c:v>0.38157894736842107</c:v>
                </c:pt>
                <c:pt idx="2">
                  <c:v>0.26954732510288065</c:v>
                </c:pt>
                <c:pt idx="3">
                  <c:v>0.29372937293729373</c:v>
                </c:pt>
                <c:pt idx="4">
                  <c:v>0.27922624053826745</c:v>
                </c:pt>
                <c:pt idx="5">
                  <c:v>0.19285483349498869</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0.11419753086419752</c:v>
                </c:pt>
                <c:pt idx="1">
                  <c:v>0.10526315789473684</c:v>
                </c:pt>
                <c:pt idx="2">
                  <c:v>0.24691358024691357</c:v>
                </c:pt>
                <c:pt idx="3">
                  <c:v>0.33003300330033003</c:v>
                </c:pt>
                <c:pt idx="4">
                  <c:v>0.22287636669470143</c:v>
                </c:pt>
                <c:pt idx="5">
                  <c:v>0.17992240543161978</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0.58333333333333337</c:v>
                </c:pt>
                <c:pt idx="1">
                  <c:v>0.51315789473684215</c:v>
                </c:pt>
                <c:pt idx="2">
                  <c:v>0.43415637860082307</c:v>
                </c:pt>
                <c:pt idx="3">
                  <c:v>0.36303630363036304</c:v>
                </c:pt>
                <c:pt idx="4">
                  <c:v>0.46173254835996635</c:v>
                </c:pt>
                <c:pt idx="5">
                  <c:v>0.61978661493695442</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4.6296296296296294E-2</c:v>
                </c:pt>
                <c:pt idx="1">
                  <c:v>0</c:v>
                </c:pt>
                <c:pt idx="2">
                  <c:v>4.9382716049382713E-2</c:v>
                </c:pt>
                <c:pt idx="3">
                  <c:v>1.3201320132013201E-2</c:v>
                </c:pt>
                <c:pt idx="4">
                  <c:v>3.6164844407064758E-2</c:v>
                </c:pt>
                <c:pt idx="5">
                  <c:v>7.4361461364371162E-3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0.32240437158469948</c:v>
                </c:pt>
                <c:pt idx="1">
                  <c:v>0.43283582089552236</c:v>
                </c:pt>
                <c:pt idx="2">
                  <c:v>0.29411764705882354</c:v>
                </c:pt>
                <c:pt idx="3">
                  <c:v>0.37333333333333335</c:v>
                </c:pt>
                <c:pt idx="4">
                  <c:v>0.33215547703180209</c:v>
                </c:pt>
                <c:pt idx="5">
                  <c:v>0.29977980497011641</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0.11475409836065574</c:v>
                </c:pt>
                <c:pt idx="1">
                  <c:v>0.11940298507462686</c:v>
                </c:pt>
                <c:pt idx="2">
                  <c:v>0.28342245989304815</c:v>
                </c:pt>
                <c:pt idx="3">
                  <c:v>0.36444444444444446</c:v>
                </c:pt>
                <c:pt idx="4">
                  <c:v>0.25559481743227325</c:v>
                </c:pt>
                <c:pt idx="5">
                  <c:v>0.22428436615287825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0.48087431693989069</c:v>
                </c:pt>
                <c:pt idx="1">
                  <c:v>0.44776119402985076</c:v>
                </c:pt>
                <c:pt idx="2">
                  <c:v>0.37165775401069517</c:v>
                </c:pt>
                <c:pt idx="3">
                  <c:v>0.24444444444444444</c:v>
                </c:pt>
                <c:pt idx="4">
                  <c:v>0.36749116607773852</c:v>
                </c:pt>
                <c:pt idx="5">
                  <c:v>0.46649889902485059</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8.1967213114754092E-2</c:v>
                </c:pt>
                <c:pt idx="1">
                  <c:v>0</c:v>
                </c:pt>
                <c:pt idx="2">
                  <c:v>5.3475935828877004E-2</c:v>
                </c:pt>
                <c:pt idx="3">
                  <c:v>1.7777777777777778E-2</c:v>
                </c:pt>
                <c:pt idx="4">
                  <c:v>4.5936395759717315E-2</c:v>
                </c:pt>
                <c:pt idx="5">
                  <c:v>9.7514941805599241E-3</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Bellingham</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Whatcom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97</v>
      </c>
    </row>
    <row r="7" spans="2:10" ht="20.25">
      <c r="B7" s="9"/>
      <c r="C7" s="48" t="s">
        <v>1971</v>
      </c>
    </row>
    <row r="8" spans="2:10" ht="20.25">
      <c r="B8" s="8" t="s">
        <v>2678</v>
      </c>
      <c r="C8" s="45" t="str">
        <f>IFERROR(INDEX(GEOID[GEO_ID],MATCH(City,GEOID[NAME],0)),"(not found)")</f>
        <v>1600000US5305280</v>
      </c>
    </row>
    <row r="9" spans="2:10" ht="20.25">
      <c r="B9" s="8"/>
      <c r="C9" s="45" t="str">
        <f>IFERROR(INDEX(GEOID[GEO_ID],MATCH(County,GEOID[NAME],0)),"(not found)")</f>
        <v>0500000US53073</v>
      </c>
    </row>
    <row r="11" spans="2:10" ht="20.25">
      <c r="B11" s="8" t="s">
        <v>2677</v>
      </c>
      <c r="C11" s="49" t="str">
        <f>IFERROR(INDEX(WA_CDPs[GEO_ID_CHAS],MATCH(City,WA_CDPs[NAME],0)),"(not found)")</f>
        <v>16000US5305280</v>
      </c>
    </row>
    <row r="12" spans="2:10" ht="20.25">
      <c r="B12" s="8"/>
      <c r="C12" s="49" t="str">
        <f>IFERROR(INDEX(WA_Counties[GEO_ID_CHAS],MATCH(County,WA_Counties[NAME],0)),"(not found)")</f>
        <v>05000US53073</v>
      </c>
    </row>
    <row r="14" spans="2:10" ht="20.25">
      <c r="B14" s="8" t="s">
        <v>2695</v>
      </c>
      <c r="C14" s="49" t="str">
        <f>SUBSTITUTE(SUBSTITUTE(SUBSTITUTE(City, " city, Washington", ""), " town, Washington", ""), " CDP, Washington", "")</f>
        <v>Bellingham</v>
      </c>
    </row>
    <row r="15" spans="2:10" ht="20.25">
      <c r="B15" s="8"/>
      <c r="C15" s="49" t="str">
        <f>SUBSTITUTE(County,", Washington","")</f>
        <v>Whatcom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Bellingham and Whatcom County, 2015 and 2020</v>
      </c>
      <c r="E76" s="7" t="s">
        <v>2697</v>
      </c>
      <c r="H76" s="42" t="s">
        <v>2407</v>
      </c>
    </row>
    <row r="77" spans="2:10">
      <c r="B77" s="7" t="str">
        <f>'Racial Composition'!C74</f>
        <v>Table 2. Racial composition percentage of Bellingham and Whatcom County 2015 and 2020</v>
      </c>
      <c r="E77" s="7" t="s">
        <v>2697</v>
      </c>
    </row>
    <row r="78" spans="2:10">
      <c r="B78" s="7" t="str">
        <f>'Cost Burden'!C4</f>
        <v>Table 3. Bellingham number of households by housing cost burden, 2019</v>
      </c>
      <c r="E78" s="7" t="s">
        <v>2804</v>
      </c>
    </row>
    <row r="79" spans="2:10">
      <c r="B79" s="7" t="str">
        <f>'Cost Burden'!C173</f>
        <v>Table 4. Bellingham percentage of households by housing cost burden, 2019</v>
      </c>
      <c r="E79" s="7" t="s">
        <v>2804</v>
      </c>
    </row>
    <row r="80" spans="2:10">
      <c r="B80" s="7" t="str">
        <f>'Rental Affordability'!C5</f>
        <v>Table 5. Bellingham and Whatcom County rental units by affordability and households by income, 2019</v>
      </c>
      <c r="E80" s="7" t="s">
        <v>1266</v>
      </c>
    </row>
    <row r="81" spans="2:5">
      <c r="B81" s="7" t="str">
        <f>Income!B6</f>
        <v>Table 6. Bellingham count of households by income and race, 2019</v>
      </c>
      <c r="E81" s="7" t="s">
        <v>2662</v>
      </c>
    </row>
    <row r="82" spans="2:5">
      <c r="B82" s="7" t="str">
        <f>Income!B119</f>
        <v>Table 7. Bellingham five year change in households by income and race, 2014 - 2019</v>
      </c>
      <c r="E82" s="7" t="s">
        <v>2662</v>
      </c>
    </row>
    <row r="83" spans="2:5">
      <c r="B83" s="7" t="str">
        <f>Income!B146</f>
        <v>Table 8. Bellingham five year change in distribution of households by income and race, 2014 - 2019</v>
      </c>
      <c r="E83" s="7" t="s">
        <v>2662</v>
      </c>
    </row>
    <row r="84" spans="2:5">
      <c r="B84" s="7" t="str">
        <f>Tenure!B5</f>
        <v>Table 9. Bellingham count of owner and renter households by racial group, 2019</v>
      </c>
      <c r="E84" s="7" t="s">
        <v>0</v>
      </c>
    </row>
    <row r="86" spans="2:5" ht="15">
      <c r="B86" s="290" t="s">
        <v>2805</v>
      </c>
      <c r="C86" s="290"/>
      <c r="D86" s="290"/>
      <c r="E86" s="290"/>
    </row>
    <row r="87" spans="2:5">
      <c r="B87" s="10" t="s">
        <v>2806</v>
      </c>
    </row>
    <row r="88" spans="2:5">
      <c r="B88" s="7" t="str">
        <f>'Racial Composition'!C29</f>
        <v>Chart 1. Bellingham population by race and Hispanic or Latino ethnicity, 2020</v>
      </c>
      <c r="E88" s="7" t="s">
        <v>2697</v>
      </c>
    </row>
    <row r="89" spans="2:5">
      <c r="B89" s="7" t="str">
        <f>'Racial Composition'!C56</f>
        <v>Chart 1a. Bellingham population by race and Hispanic ethnicity, 2020</v>
      </c>
      <c r="E89" s="7" t="s">
        <v>2697</v>
      </c>
    </row>
    <row r="90" spans="2:5">
      <c r="B90" s="7" t="str">
        <f>'Racial Composition'!C87</f>
        <v>Chart 2. Racial composition of Bellingham and Whatcom County, 2020</v>
      </c>
      <c r="E90" s="7" t="s">
        <v>2697</v>
      </c>
    </row>
    <row r="91" spans="2:5">
      <c r="B91" s="7" t="str">
        <f>'Racial Composition'!C113</f>
        <v>Chart 2a. Racial composition of Bellingham and Whatcom County, 2020</v>
      </c>
      <c r="E91" s="7" t="s">
        <v>2697</v>
      </c>
    </row>
    <row r="92" spans="2:5">
      <c r="B92" s="7" t="str">
        <f>'Racial Composition'!C138</f>
        <v>Chart 3. Racial composition of Bellingham and Whatcom County, 2015 and 2020</v>
      </c>
      <c r="E92" s="7" t="s">
        <v>2697</v>
      </c>
    </row>
    <row r="93" spans="2:5">
      <c r="B93" s="7" t="str">
        <f>'Cost Burden'!C29</f>
        <v>Chart 4. Bellingham total housing cost burden by racial and ethnic group, 2019</v>
      </c>
      <c r="E93" s="7" t="s">
        <v>2804</v>
      </c>
    </row>
    <row r="94" spans="2:5">
      <c r="B94" s="7" t="str">
        <f>'Cost Burden'!C53</f>
        <v>Chart 4a. Bellingham total housing cost burden by racial and ethnic group, 2019</v>
      </c>
      <c r="E94" s="7" t="s">
        <v>2804</v>
      </c>
    </row>
    <row r="95" spans="2:5">
      <c r="B95" s="7" t="str">
        <f>'Cost Burden'!C76</f>
        <v>Chart 5. Bellingham number of owner households by race and cost burden, 2019</v>
      </c>
      <c r="E95" s="7" t="s">
        <v>2804</v>
      </c>
    </row>
    <row r="96" spans="2:5">
      <c r="B96" s="7" t="str">
        <f>'Cost Burden'!C100</f>
        <v>Chart 5a. Bellingham number of owner households by race and cost burden, 2019</v>
      </c>
      <c r="E96" s="7" t="s">
        <v>2804</v>
      </c>
    </row>
    <row r="97" spans="2:5">
      <c r="B97" s="7" t="str">
        <f>'Cost Burden'!C124</f>
        <v>Chart 6. Bellingham renter households by race and cost burden, 2019</v>
      </c>
      <c r="E97" s="7" t="s">
        <v>2804</v>
      </c>
    </row>
    <row r="98" spans="2:5">
      <c r="B98" s="7" t="str">
        <f>'Cost Burden'!C148</f>
        <v>Chart 6a. Bellingham renter households by race and cost burden, 2019</v>
      </c>
      <c r="E98" s="7" t="s">
        <v>2804</v>
      </c>
    </row>
    <row r="99" spans="2:5">
      <c r="B99" s="7" t="str">
        <f>'Cost Burden'!C202</f>
        <v>Chart 7. Bellingham percent of all households experiencing housing cost burden, 2019</v>
      </c>
      <c r="E99" s="7" t="s">
        <v>2804</v>
      </c>
    </row>
    <row r="100" spans="2:5">
      <c r="B100" s="7" t="str">
        <f>'Cost Burden'!C228</f>
        <v>Chart 7a. Bellingham percent of all households experiencing housing cost burden, 2019</v>
      </c>
      <c r="E100" s="7" t="s">
        <v>2804</v>
      </c>
    </row>
    <row r="101" spans="2:5">
      <c r="B101" s="7" t="str">
        <f>'Cost Burden'!C246</f>
        <v>Chart 8. Bellingham percent owner households experiencing housing cost burden, 2019</v>
      </c>
      <c r="E101" s="7" t="s">
        <v>2804</v>
      </c>
    </row>
    <row r="102" spans="2:5">
      <c r="B102" s="7" t="str">
        <f>'Cost Burden'!C272</f>
        <v>Chart 8a. Bellingham percent owner households experiencing housing cost burden, 2019</v>
      </c>
      <c r="E102" s="7" t="s">
        <v>2804</v>
      </c>
    </row>
    <row r="103" spans="2:5">
      <c r="B103" s="7" t="str">
        <f>'Cost Burden'!C291</f>
        <v>Chart 9. Bellingham percent renter households experiencing housing cost burden, 2019</v>
      </c>
      <c r="E103" s="7" t="s">
        <v>2804</v>
      </c>
    </row>
    <row r="104" spans="2:5">
      <c r="B104" s="7" t="str">
        <f>'Cost Burden'!C317</f>
        <v>Chart 9a. Bellingham percent renter households experiencing housing cost burden, 2019</v>
      </c>
      <c r="E104" s="7" t="s">
        <v>2804</v>
      </c>
    </row>
    <row r="105" spans="2:5">
      <c r="B105" s="7" t="str">
        <f>'Rental Affordability'!C20</f>
        <v>Chart 10. Bellingham and Whatcom County renter household income compared to rental unit affordability, 2019</v>
      </c>
      <c r="E105" s="7" t="s">
        <v>1266</v>
      </c>
    </row>
    <row r="106" spans="2:5">
      <c r="B106" s="7" t="str">
        <f>'Rental Affordability'!C45</f>
        <v>Chart 11. Bellingham renter households by income compared to rental units by affordability, 2019</v>
      </c>
      <c r="E106" s="7" t="s">
        <v>1266</v>
      </c>
    </row>
    <row r="107" spans="2:5">
      <c r="B107" s="7" t="str">
        <f>'Rental Affordability'!C78</f>
        <v>Chart 12. Bellingham five year change in renter households by income and rental units by affordability, 2014 - 2019</v>
      </c>
      <c r="E107" s="7" t="s">
        <v>1266</v>
      </c>
    </row>
    <row r="108" spans="2:5">
      <c r="B108" s="7" t="str">
        <f>Income!B31</f>
        <v>Chart 13. Bellingham number of households by income category and race, 2019</v>
      </c>
      <c r="E108" s="7" t="s">
        <v>2662</v>
      </c>
    </row>
    <row r="109" spans="2:5">
      <c r="B109" s="7" t="str">
        <f>Income!B55</f>
        <v>Chart 13a. Bellingham number of households by income category and race, 2019</v>
      </c>
      <c r="E109" s="7" t="s">
        <v>2662</v>
      </c>
    </row>
    <row r="110" spans="2:5">
      <c r="B110" s="7" t="str">
        <f>Income!B78</f>
        <v>Chart 14. Bellingham distribution of households by income and race or ethnicity, 2019</v>
      </c>
      <c r="E110" s="7" t="s">
        <v>2662</v>
      </c>
    </row>
    <row r="111" spans="2:5">
      <c r="B111" s="7" t="str">
        <f>Income!B100</f>
        <v>Chart 14a. Bellingham distribution of households by income and race or ethnicity, 2019</v>
      </c>
      <c r="E111" s="7" t="s">
        <v>2662</v>
      </c>
    </row>
    <row r="112" spans="2:5">
      <c r="B112" s="7" t="str">
        <f>Income!B172</f>
        <v>Chart 15. Bellingham percentage of all households by income category and race, (2010 - 2014 vs 2015 - 2019)</v>
      </c>
      <c r="E112" s="7" t="s">
        <v>2662</v>
      </c>
    </row>
    <row r="113" spans="2:5">
      <c r="B113" s="7" t="str">
        <f>Tenure!B22</f>
        <v>Chart 16. Bellingham total number of owner and renter households by race and ethnicity, 2019</v>
      </c>
      <c r="E113" s="7" t="s">
        <v>0</v>
      </c>
    </row>
    <row r="114" spans="2:5">
      <c r="B114" s="7" t="str">
        <f>Tenure!B47</f>
        <v>Chart 16a. Bellingham total number of owner and renter households by race and ethnicity, 2019</v>
      </c>
      <c r="E114" s="7" t="s">
        <v>0</v>
      </c>
    </row>
    <row r="115" spans="2:5">
      <c r="B115" s="7" t="str">
        <f>Tenure!B69</f>
        <v xml:space="preserve">Chart 17. Bellingham percent owner and renter households by race and ethnicity, 2019 </v>
      </c>
      <c r="E115" s="7" t="s">
        <v>0</v>
      </c>
    </row>
    <row r="116" spans="2:5">
      <c r="B116" s="7" t="str">
        <f>Tenure!B95</f>
        <v xml:space="preserve">Chart 17a. Bellingham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Bellingham and Whatcom County, 2015 and 2020</v>
      </c>
      <c r="D5" s="301"/>
      <c r="E5" s="301"/>
      <c r="F5" s="301"/>
      <c r="G5" s="301"/>
      <c r="H5" s="301"/>
      <c r="I5" s="301"/>
      <c r="J5" s="301"/>
      <c r="K5" s="301"/>
      <c r="L5" s="301"/>
      <c r="M5" s="301"/>
      <c r="AA5" s="16" t="s">
        <v>2702</v>
      </c>
      <c r="AB5" s="304" t="str">
        <f>City</f>
        <v>Bellingham city, Washington</v>
      </c>
      <c r="AC5" s="304"/>
      <c r="AM5" s="32"/>
    </row>
    <row r="6" spans="3:51" ht="15.75">
      <c r="C6" s="301"/>
      <c r="D6" s="301"/>
      <c r="E6" s="301"/>
      <c r="F6" s="301"/>
      <c r="G6" s="301"/>
      <c r="H6" s="301"/>
      <c r="I6" s="301"/>
      <c r="J6" s="301"/>
      <c r="K6" s="301"/>
      <c r="L6" s="301"/>
      <c r="M6" s="301"/>
      <c r="AA6" s="16" t="s">
        <v>2703</v>
      </c>
      <c r="AB6" s="304" t="str">
        <f>County</f>
        <v>Whatcom County, Washington</v>
      </c>
      <c r="AC6" s="304"/>
      <c r="AL6" s="32"/>
    </row>
    <row r="7" spans="3:51" ht="15" thickBot="1"/>
    <row r="8" spans="3:51">
      <c r="C8" s="64"/>
      <c r="D8" s="64"/>
      <c r="E8" s="64"/>
      <c r="F8" s="64"/>
      <c r="G8" s="65" t="str">
        <f>City_label</f>
        <v>Bellingham</v>
      </c>
      <c r="H8" s="65"/>
      <c r="I8" s="64"/>
      <c r="J8" s="64"/>
      <c r="K8" s="65" t="str">
        <f>County_label</f>
        <v>Whatcom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1359</v>
      </c>
      <c r="H10" s="69">
        <f>AF15</f>
        <v>766</v>
      </c>
      <c r="I10" s="69">
        <f t="shared" ref="I10:I17" si="0">H10-G10</f>
        <v>-593</v>
      </c>
      <c r="J10" s="29"/>
      <c r="K10" s="69">
        <f>AK15</f>
        <v>5385</v>
      </c>
      <c r="L10" s="69">
        <f>AL15</f>
        <v>5185</v>
      </c>
      <c r="M10" s="69">
        <f t="shared" ref="M10:M17" si="1">L10-K10</f>
        <v>-200</v>
      </c>
      <c r="AE10" s="36" t="str">
        <f>City_label</f>
        <v>Bellingham</v>
      </c>
      <c r="AF10" s="36" t="str">
        <f>City_label</f>
        <v>Bellingham</v>
      </c>
      <c r="AG10" s="36" t="str">
        <f>City_label</f>
        <v>Bellingham</v>
      </c>
      <c r="AH10" s="36" t="str">
        <f>City_label</f>
        <v>Bellingham</v>
      </c>
      <c r="AI10" s="36" t="str">
        <f>City_label</f>
        <v>Bellingham</v>
      </c>
      <c r="AK10" s="36" t="str">
        <f>County_label</f>
        <v>Whatcom County</v>
      </c>
      <c r="AL10" s="36" t="str">
        <f>County_label</f>
        <v>Whatcom County</v>
      </c>
      <c r="AM10" s="36" t="str">
        <f>County_label</f>
        <v>Whatcom County</v>
      </c>
      <c r="AN10" s="36" t="str">
        <f>County_label</f>
        <v>Whatcom County</v>
      </c>
      <c r="AP10" s="36"/>
    </row>
    <row r="11" spans="3:51" ht="15">
      <c r="C11" s="29" t="str">
        <f>AC16</f>
        <v>Asian</v>
      </c>
      <c r="D11" s="29"/>
      <c r="E11" s="29"/>
      <c r="F11" s="29"/>
      <c r="G11" s="69">
        <f>AE16</f>
        <v>4894</v>
      </c>
      <c r="H11" s="69">
        <f>AF16</f>
        <v>5371</v>
      </c>
      <c r="I11" s="69">
        <f t="shared" si="0"/>
        <v>477</v>
      </c>
      <c r="J11" s="29"/>
      <c r="K11" s="69">
        <f>AK16</f>
        <v>8079</v>
      </c>
      <c r="L11" s="69">
        <f>AL16</f>
        <v>9003</v>
      </c>
      <c r="M11" s="69">
        <f t="shared" si="1"/>
        <v>924</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866</v>
      </c>
      <c r="H12" s="69">
        <f>AF14</f>
        <v>1416</v>
      </c>
      <c r="I12" s="69">
        <f t="shared" si="0"/>
        <v>550</v>
      </c>
      <c r="J12" s="29"/>
      <c r="K12" s="69">
        <f>AK14</f>
        <v>1705</v>
      </c>
      <c r="L12" s="69">
        <f>AL14</f>
        <v>2123</v>
      </c>
      <c r="M12" s="69">
        <f t="shared" si="1"/>
        <v>418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6704</v>
      </c>
      <c r="H13" s="69">
        <f>AF20</f>
        <v>8728</v>
      </c>
      <c r="I13" s="69">
        <f t="shared" si="0"/>
        <v>2024</v>
      </c>
      <c r="J13" s="29"/>
      <c r="K13" s="69">
        <f>AK20</f>
        <v>18030</v>
      </c>
      <c r="L13" s="69">
        <f>AL20</f>
        <v>21734</v>
      </c>
      <c r="M13" s="69">
        <f t="shared" si="1"/>
        <v>3704</v>
      </c>
      <c r="AA13" s="112" t="s">
        <v>2493</v>
      </c>
      <c r="AB13" s="112" t="s">
        <v>2483</v>
      </c>
      <c r="AC13" t="s">
        <v>2672</v>
      </c>
      <c r="AE13" s="1">
        <v>65615</v>
      </c>
      <c r="AF13" s="1">
        <v>70284</v>
      </c>
      <c r="AG13" s="6">
        <f t="shared" ref="AG13:AH20" si="2">AE13/AE$21</f>
        <v>0.79107590663580252</v>
      </c>
      <c r="AH13" s="6">
        <f t="shared" si="2"/>
        <v>0.77387388379339583</v>
      </c>
      <c r="AI13" t="str">
        <f t="shared" ref="AI13:AI20" si="3">TEXT(AF13,"#,##0")&amp;CHAR(10)&amp;"("&amp;TEXT(AH13,"0%"&amp;")")</f>
        <v>70,284
(77%)</v>
      </c>
      <c r="AK13" s="1">
        <v>166283</v>
      </c>
      <c r="AL13" s="1">
        <v>175337</v>
      </c>
      <c r="AM13" s="6">
        <f t="shared" ref="AM13:AM20" si="4">AK13/$AK$21</f>
        <v>0.80291163689039113</v>
      </c>
      <c r="AN13" s="6">
        <f t="shared" ref="AN13:AN20" si="5">AL13/AL$21</f>
        <v>0.78087896035414939</v>
      </c>
      <c r="AP13" s="6"/>
      <c r="AU13" s="38"/>
      <c r="AV13" s="38"/>
      <c r="AX13" s="6"/>
      <c r="AY13" s="6"/>
    </row>
    <row r="14" spans="3:51">
      <c r="C14" s="29" t="str">
        <f>AC17</f>
        <v>Native Hawaiian and Other Pacific Islander</v>
      </c>
      <c r="D14" s="29"/>
      <c r="E14" s="29"/>
      <c r="F14" s="29"/>
      <c r="G14" s="69">
        <f t="shared" ref="G14:H16" si="6">AE17</f>
        <v>145</v>
      </c>
      <c r="H14" s="69">
        <f t="shared" si="6"/>
        <v>125</v>
      </c>
      <c r="I14" s="69">
        <f t="shared" si="0"/>
        <v>-20</v>
      </c>
      <c r="J14" s="29"/>
      <c r="K14" s="69">
        <f t="shared" ref="K14:L16" si="7">AK17</f>
        <v>582</v>
      </c>
      <c r="L14" s="69">
        <f t="shared" si="7"/>
        <v>518</v>
      </c>
      <c r="M14" s="69">
        <f t="shared" si="1"/>
        <v>-64</v>
      </c>
      <c r="AA14" s="112" t="s">
        <v>2491</v>
      </c>
      <c r="AB14" s="112" t="s">
        <v>2481</v>
      </c>
      <c r="AC14" t="s">
        <v>2673</v>
      </c>
      <c r="AE14" s="1">
        <v>866</v>
      </c>
      <c r="AF14" s="1">
        <v>1416</v>
      </c>
      <c r="AG14" s="6">
        <f t="shared" si="2"/>
        <v>1.0440779320987654E-2</v>
      </c>
      <c r="AH14" s="6">
        <f t="shared" si="2"/>
        <v>1.5591107783442155E-2</v>
      </c>
      <c r="AI14" t="str">
        <f t="shared" si="3"/>
        <v>1,416
(2%)</v>
      </c>
      <c r="AK14" s="1">
        <v>1705</v>
      </c>
      <c r="AL14" s="1">
        <v>2123</v>
      </c>
      <c r="AM14" s="6">
        <f t="shared" si="4"/>
        <v>8.2327378078223077E-3</v>
      </c>
      <c r="AN14" s="6">
        <f t="shared" si="5"/>
        <v>9.4549697601296889E-3</v>
      </c>
      <c r="AP14" s="6"/>
      <c r="AU14" s="38"/>
      <c r="AV14" s="38"/>
      <c r="AX14" s="6"/>
      <c r="AY14" s="6"/>
    </row>
    <row r="15" spans="3:51">
      <c r="C15" s="29" t="str">
        <f>AC18</f>
        <v>Other Race</v>
      </c>
      <c r="D15" s="29"/>
      <c r="E15" s="29"/>
      <c r="F15" s="29"/>
      <c r="G15" s="69">
        <f t="shared" si="6"/>
        <v>54</v>
      </c>
      <c r="H15" s="69">
        <f t="shared" si="6"/>
        <v>85</v>
      </c>
      <c r="I15" s="69">
        <f t="shared" si="0"/>
        <v>31</v>
      </c>
      <c r="J15" s="29"/>
      <c r="K15" s="69">
        <f t="shared" si="7"/>
        <v>234</v>
      </c>
      <c r="L15" s="69">
        <f t="shared" si="7"/>
        <v>484</v>
      </c>
      <c r="M15" s="69">
        <f t="shared" si="1"/>
        <v>250</v>
      </c>
      <c r="AA15" s="112" t="s">
        <v>2489</v>
      </c>
      <c r="AB15" s="112" t="s">
        <v>2479</v>
      </c>
      <c r="AC15" t="s">
        <v>2674</v>
      </c>
      <c r="AE15" s="1">
        <v>1359</v>
      </c>
      <c r="AF15" s="1">
        <v>766</v>
      </c>
      <c r="AG15" s="6">
        <f t="shared" si="2"/>
        <v>1.6384548611111112E-2</v>
      </c>
      <c r="AH15" s="6">
        <f t="shared" si="2"/>
        <v>8.4341727133592451E-3</v>
      </c>
      <c r="AI15" t="str">
        <f t="shared" si="3"/>
        <v>766
(1%)</v>
      </c>
      <c r="AK15" s="1">
        <v>5385</v>
      </c>
      <c r="AL15" s="1">
        <v>5185</v>
      </c>
      <c r="AM15" s="6">
        <f t="shared" si="4"/>
        <v>2.6001931434089812E-2</v>
      </c>
      <c r="AN15" s="6">
        <f t="shared" si="5"/>
        <v>2.309185972975621E-2</v>
      </c>
      <c r="AP15" s="6"/>
      <c r="AU15" s="38"/>
      <c r="AV15" s="38"/>
      <c r="AX15" s="6"/>
      <c r="AY15" s="6"/>
    </row>
    <row r="16" spans="3:51">
      <c r="C16" s="29" t="str">
        <f>AC19</f>
        <v>Two or more races</v>
      </c>
      <c r="D16" s="29"/>
      <c r="E16" s="29"/>
      <c r="F16" s="29"/>
      <c r="G16" s="69">
        <f t="shared" si="6"/>
        <v>3307</v>
      </c>
      <c r="H16" s="69">
        <f t="shared" si="6"/>
        <v>4046</v>
      </c>
      <c r="I16" s="69">
        <f t="shared" si="0"/>
        <v>739</v>
      </c>
      <c r="J16" s="29"/>
      <c r="K16" s="69">
        <f t="shared" si="7"/>
        <v>6802</v>
      </c>
      <c r="L16" s="69">
        <f t="shared" si="7"/>
        <v>10154</v>
      </c>
      <c r="M16" s="69">
        <f t="shared" si="1"/>
        <v>3352</v>
      </c>
      <c r="AA16" s="112" t="s">
        <v>2487</v>
      </c>
      <c r="AB16" s="112" t="s">
        <v>2477</v>
      </c>
      <c r="AC16" t="s">
        <v>2666</v>
      </c>
      <c r="AE16" s="1">
        <v>4894</v>
      </c>
      <c r="AF16" s="1">
        <v>5371</v>
      </c>
      <c r="AG16" s="6">
        <f t="shared" si="2"/>
        <v>5.900366512345679E-2</v>
      </c>
      <c r="AH16" s="6">
        <f t="shared" si="2"/>
        <v>5.9138305017562016E-2</v>
      </c>
      <c r="AI16" t="str">
        <f t="shared" si="3"/>
        <v>5,371
(6%)</v>
      </c>
      <c r="AK16" s="1">
        <v>8079</v>
      </c>
      <c r="AL16" s="1">
        <v>9003</v>
      </c>
      <c r="AM16" s="6">
        <f t="shared" si="4"/>
        <v>3.9010140028971511E-2</v>
      </c>
      <c r="AN16" s="6">
        <f t="shared" si="5"/>
        <v>4.009566309488817E-2</v>
      </c>
      <c r="AP16" s="6"/>
      <c r="AU16" s="38"/>
      <c r="AV16" s="38"/>
      <c r="AX16" s="6"/>
      <c r="AY16" s="6"/>
    </row>
    <row r="17" spans="3:51">
      <c r="C17" s="29" t="str">
        <f>AC13</f>
        <v>White</v>
      </c>
      <c r="D17" s="29"/>
      <c r="E17" s="29"/>
      <c r="F17" s="29"/>
      <c r="G17" s="69">
        <f>AE13</f>
        <v>65615</v>
      </c>
      <c r="H17" s="69">
        <f>AF13</f>
        <v>70284</v>
      </c>
      <c r="I17" s="69">
        <f t="shared" si="0"/>
        <v>4669</v>
      </c>
      <c r="J17" s="29"/>
      <c r="K17" s="69">
        <f>AK13</f>
        <v>166283</v>
      </c>
      <c r="L17" s="69">
        <f>AL13</f>
        <v>175337</v>
      </c>
      <c r="M17" s="69">
        <f t="shared" si="1"/>
        <v>9054</v>
      </c>
      <c r="AA17" s="112" t="s">
        <v>2485</v>
      </c>
      <c r="AB17" s="112" t="s">
        <v>2475</v>
      </c>
      <c r="AC17" t="s">
        <v>2675</v>
      </c>
      <c r="AE17" s="1">
        <v>145</v>
      </c>
      <c r="AF17" s="1">
        <v>125</v>
      </c>
      <c r="AG17" s="6">
        <f t="shared" si="2"/>
        <v>1.7481674382716049E-3</v>
      </c>
      <c r="AH17" s="6">
        <f t="shared" si="2"/>
        <v>1.3763336673236367E-3</v>
      </c>
      <c r="AI17" t="str">
        <f t="shared" si="3"/>
        <v>125
(0%)</v>
      </c>
      <c r="AK17" s="1">
        <v>582</v>
      </c>
      <c r="AL17" s="1">
        <v>518</v>
      </c>
      <c r="AM17" s="6">
        <f t="shared" si="4"/>
        <v>2.8102366006760018E-3</v>
      </c>
      <c r="AN17" s="6">
        <f t="shared" si="5"/>
        <v>2.3069591784018739E-3</v>
      </c>
      <c r="AP17" s="6"/>
      <c r="AU17" s="38"/>
      <c r="AV17" s="38"/>
      <c r="AX17" s="6"/>
      <c r="AY17" s="6"/>
    </row>
    <row r="18" spans="3:51">
      <c r="C18" s="66"/>
      <c r="D18" s="66"/>
      <c r="E18" s="66"/>
      <c r="F18" s="66" t="s">
        <v>1</v>
      </c>
      <c r="G18" s="72">
        <f>SUM(G10:G17)</f>
        <v>82944</v>
      </c>
      <c r="H18" s="72">
        <f>SUM(H10:H17)</f>
        <v>90821</v>
      </c>
      <c r="I18" s="72">
        <f>SUM(I10:I17)</f>
        <v>7877</v>
      </c>
      <c r="J18" s="70"/>
      <c r="K18" s="72">
        <f>SUM(K10:K17)</f>
        <v>207100</v>
      </c>
      <c r="L18" s="72">
        <f t="shared" ref="L18:M18" si="8">SUM(L10:L17)</f>
        <v>224538</v>
      </c>
      <c r="M18" s="72">
        <f t="shared" si="8"/>
        <v>17438</v>
      </c>
      <c r="AA18" s="112" t="s">
        <v>2483</v>
      </c>
      <c r="AB18" s="112" t="s">
        <v>2473</v>
      </c>
      <c r="AC18" t="s">
        <v>2706</v>
      </c>
      <c r="AE18" s="1">
        <v>54</v>
      </c>
      <c r="AF18" s="1">
        <v>85</v>
      </c>
      <c r="AG18" s="6">
        <f t="shared" si="2"/>
        <v>6.5104166666666663E-4</v>
      </c>
      <c r="AH18" s="6">
        <f t="shared" si="2"/>
        <v>9.3590689378007287E-4</v>
      </c>
      <c r="AI18" t="str">
        <f t="shared" si="3"/>
        <v>85
(0%)</v>
      </c>
      <c r="AK18" s="1">
        <v>234</v>
      </c>
      <c r="AL18" s="1">
        <v>484</v>
      </c>
      <c r="AM18" s="6">
        <f t="shared" si="4"/>
        <v>1.1298889425398358E-3</v>
      </c>
      <c r="AN18" s="6">
        <f t="shared" si="5"/>
        <v>2.1555371473870794E-3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3307</v>
      </c>
      <c r="AF19" s="1">
        <v>4046</v>
      </c>
      <c r="AG19" s="6">
        <f t="shared" si="2"/>
        <v>3.9870273919753084E-2</v>
      </c>
      <c r="AH19" s="6">
        <f t="shared" si="2"/>
        <v>4.4549168143931471E-2</v>
      </c>
      <c r="AI19" t="str">
        <f t="shared" si="3"/>
        <v>4,046
(4%)</v>
      </c>
      <c r="AK19" s="1">
        <v>6802</v>
      </c>
      <c r="AL19" s="1">
        <v>10154</v>
      </c>
      <c r="AM19" s="6">
        <f t="shared" si="4"/>
        <v>3.2844036697247704E-2</v>
      </c>
      <c r="AN19" s="6">
        <f t="shared" si="5"/>
        <v>4.5221744203653727E-2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6704</v>
      </c>
      <c r="AF20" s="1">
        <v>8728</v>
      </c>
      <c r="AG20" s="6">
        <f t="shared" si="2"/>
        <v>8.0825617283950615E-2</v>
      </c>
      <c r="AH20" s="6">
        <f t="shared" si="2"/>
        <v>9.6101121987205607E-2</v>
      </c>
      <c r="AI20" t="str">
        <f t="shared" si="3"/>
        <v>8,728
(10%)</v>
      </c>
      <c r="AK20" s="1">
        <v>18030</v>
      </c>
      <c r="AL20" s="1">
        <v>21734</v>
      </c>
      <c r="AM20" s="6">
        <f t="shared" si="4"/>
        <v>8.7059391598261704E-2</v>
      </c>
      <c r="AN20" s="6">
        <f t="shared" si="5"/>
        <v>9.6794306531633845E-2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82944</v>
      </c>
      <c r="AF21" s="3">
        <v>90821</v>
      </c>
      <c r="AK21" s="2">
        <v>207100</v>
      </c>
      <c r="AL21" s="2">
        <v>224538</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Bellingham</v>
      </c>
      <c r="AH24" s="16" t="str">
        <f>City_label</f>
        <v>Bellingham</v>
      </c>
      <c r="AK24" s="297" t="str">
        <f>County_label</f>
        <v>Whatcom County</v>
      </c>
      <c r="AL24" s="297"/>
      <c r="AM24" s="297" t="str">
        <f>County_label</f>
        <v>Whatcom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4894</v>
      </c>
      <c r="AF26" s="5">
        <f>AF16</f>
        <v>5371</v>
      </c>
      <c r="AG26" s="6">
        <f>AE26/$AE$31</f>
        <v>5.900366512345679E-2</v>
      </c>
      <c r="AH26" s="6">
        <f>AF26/$AF$31</f>
        <v>5.9138305017562016E-2</v>
      </c>
      <c r="AI26" t="str">
        <f>TEXT(AF26,"#,##0")&amp;CHAR(10)&amp;"("&amp;TEXT(AH26,"0%"&amp;")")</f>
        <v>5,371
(6%)</v>
      </c>
      <c r="AK26" s="5">
        <f>AK16</f>
        <v>8079</v>
      </c>
      <c r="AL26" s="5">
        <f>AL16</f>
        <v>9003</v>
      </c>
      <c r="AM26" s="6">
        <f>AK26/$AK$31</f>
        <v>3.9010140028971511E-2</v>
      </c>
      <c r="AN26" s="6">
        <f>AL26/$AL$31</f>
        <v>4.009566309488817E-2</v>
      </c>
    </row>
    <row r="27" spans="3:51" ht="20.25" customHeight="1">
      <c r="C27" s="50"/>
      <c r="D27" s="50"/>
      <c r="E27" s="50"/>
      <c r="F27" s="50"/>
      <c r="G27" s="50"/>
      <c r="H27" s="50"/>
      <c r="I27" s="50"/>
      <c r="J27" s="50"/>
      <c r="K27" s="50"/>
      <c r="L27" s="305" t="str">
        <f>IF(SUM(AH50,AH65,AN50,AN65)&gt;0, "Recommended", "Optional")</f>
        <v>Optional</v>
      </c>
      <c r="M27" s="305"/>
      <c r="AC27" t="s">
        <v>2673</v>
      </c>
      <c r="AE27" s="5">
        <f>AE14</f>
        <v>866</v>
      </c>
      <c r="AF27" s="5">
        <f>AF14</f>
        <v>1416</v>
      </c>
      <c r="AG27" s="6">
        <f>AE27/$AE$31</f>
        <v>1.0440779320987654E-2</v>
      </c>
      <c r="AH27" s="6">
        <f>AF27/$AF$31</f>
        <v>1.5591107783442155E-2</v>
      </c>
      <c r="AI27" t="str">
        <f>TEXT(AF27,"#,##0")&amp;CHAR(10)&amp;"("&amp;TEXT(AH27,"0%"&amp;")")</f>
        <v>1,416
(2%)</v>
      </c>
      <c r="AK27" s="5">
        <f>AK14</f>
        <v>1705</v>
      </c>
      <c r="AL27" s="5">
        <f>AL14</f>
        <v>2123</v>
      </c>
      <c r="AM27" s="6">
        <f>AK27/$AK$31</f>
        <v>8.2327378078223077E-3</v>
      </c>
      <c r="AN27" s="6">
        <f>AL27/$AL$31</f>
        <v>9.4549697601296889E-3</v>
      </c>
    </row>
    <row r="28" spans="3:51">
      <c r="C28" s="50"/>
      <c r="D28" s="50"/>
      <c r="E28" s="50"/>
      <c r="F28" s="50"/>
      <c r="G28" s="50"/>
      <c r="H28" s="50"/>
      <c r="I28" s="50"/>
      <c r="J28" s="50"/>
      <c r="K28" s="50"/>
      <c r="AC28" t="s">
        <v>2790</v>
      </c>
      <c r="AE28" s="5">
        <f>AE20</f>
        <v>6704</v>
      </c>
      <c r="AF28" s="5">
        <f>AF20</f>
        <v>8728</v>
      </c>
      <c r="AG28" s="6">
        <f>AE28/$AE$31</f>
        <v>8.0825617283950615E-2</v>
      </c>
      <c r="AH28" s="6">
        <f>AF28/$AF$31</f>
        <v>9.6101121987205607E-2</v>
      </c>
      <c r="AI28" t="str">
        <f>TEXT(AF28,"#,##0")&amp;CHAR(10)&amp;"("&amp;TEXT(AH28,"0%"&amp;")")</f>
        <v>8,728
(10%)</v>
      </c>
      <c r="AK28" s="5">
        <f>AK20</f>
        <v>18030</v>
      </c>
      <c r="AL28" s="5">
        <f>AL20</f>
        <v>21734</v>
      </c>
      <c r="AM28" s="6">
        <f>AK28/$AK$31</f>
        <v>8.7059391598261704E-2</v>
      </c>
      <c r="AN28" s="6">
        <f>AL28/$AL$31</f>
        <v>9.6794306531633845E-2</v>
      </c>
    </row>
    <row r="29" spans="3:51" ht="18" customHeight="1">
      <c r="C29" s="301" t="str">
        <f>"Chart 1. "&amp; City_label &amp; " population by race and Hispanic or Latino ethnicity, 2020"</f>
        <v>Chart 1. Bellingham population by race and Hispanic or Latino ethnicity, 2020</v>
      </c>
      <c r="D29" s="301"/>
      <c r="E29" s="301"/>
      <c r="F29" s="301"/>
      <c r="G29" s="301"/>
      <c r="H29" s="301"/>
      <c r="I29" s="301"/>
      <c r="J29" s="301"/>
      <c r="K29" s="301"/>
      <c r="L29" s="301"/>
      <c r="M29" s="301"/>
      <c r="AC29" t="s">
        <v>2706</v>
      </c>
      <c r="AE29" s="5">
        <f>SUM(AE15,AE17,AE18,AE19)</f>
        <v>4865</v>
      </c>
      <c r="AF29" s="5">
        <f>SUM(AF15,AF17,AF18,AF19)</f>
        <v>5022</v>
      </c>
      <c r="AG29" s="6">
        <f>AE29/$AE$31</f>
        <v>5.8654031635802469E-2</v>
      </c>
      <c r="AH29" s="6">
        <f>AF29/$AF$31</f>
        <v>5.5295581418394427E-2</v>
      </c>
      <c r="AI29" t="str">
        <f>TEXT(AF29,"#,##0")&amp;CHAR(10)&amp;"("&amp;TEXT(AH29,"0%"&amp;")")</f>
        <v>5,022
(6%)</v>
      </c>
      <c r="AK29" s="5">
        <f>SUM(AK15,AK17,AK18,AK19)</f>
        <v>13003</v>
      </c>
      <c r="AL29" s="5">
        <f>SUM(AL15,AL17,AL18,AL19)</f>
        <v>16341</v>
      </c>
      <c r="AM29" s="6">
        <f>AK29/$AK$31</f>
        <v>6.2786093674553359E-2</v>
      </c>
      <c r="AN29" s="6">
        <f>AL29/$AL$31</f>
        <v>7.2776100259198895E-2</v>
      </c>
    </row>
    <row r="30" spans="3:51" ht="18" customHeight="1">
      <c r="C30" s="301"/>
      <c r="D30" s="301"/>
      <c r="E30" s="301"/>
      <c r="F30" s="301"/>
      <c r="G30" s="301"/>
      <c r="H30" s="301"/>
      <c r="I30" s="301"/>
      <c r="J30" s="301"/>
      <c r="K30" s="301"/>
      <c r="L30" s="301"/>
      <c r="M30" s="301"/>
      <c r="AC30" t="s">
        <v>2672</v>
      </c>
      <c r="AE30" s="5">
        <f>AE13</f>
        <v>65615</v>
      </c>
      <c r="AF30" s="5">
        <f>AF13</f>
        <v>70284</v>
      </c>
      <c r="AG30" s="6">
        <f>AE30/$AE$31</f>
        <v>0.79107590663580252</v>
      </c>
      <c r="AH30" s="6">
        <f>AF30/$AF$31</f>
        <v>0.77387388379339583</v>
      </c>
      <c r="AI30" t="str">
        <f>TEXT(AF30,"#,##0")&amp;CHAR(10)&amp;"("&amp;TEXT(AH30,"0%"&amp;")")</f>
        <v>70,284
(77%)</v>
      </c>
      <c r="AK30" s="5">
        <f>AK13</f>
        <v>166283</v>
      </c>
      <c r="AL30" s="5">
        <f>AL13</f>
        <v>175337</v>
      </c>
      <c r="AM30" s="6">
        <f>AK30/$AK$31</f>
        <v>0.80291163689039113</v>
      </c>
      <c r="AN30" s="6">
        <f>AL30/$AL$31</f>
        <v>0.78087896035414939</v>
      </c>
    </row>
    <row r="31" spans="3:51" ht="15">
      <c r="AC31" t="s">
        <v>2667</v>
      </c>
      <c r="AE31" s="37">
        <f>SUM(AE26:AE30)</f>
        <v>82944</v>
      </c>
      <c r="AF31" s="37">
        <f>SUM(AF26:AF30)</f>
        <v>90821</v>
      </c>
      <c r="AK31" s="37">
        <f>SUM(AK26:AK30)</f>
        <v>207100</v>
      </c>
      <c r="AL31" s="37">
        <f>SUM(AL26:AL30)</f>
        <v>224538</v>
      </c>
    </row>
    <row r="32" spans="3:51" ht="15">
      <c r="C32" s="16"/>
    </row>
    <row r="33" spans="27:40">
      <c r="AE33" s="5"/>
      <c r="AF33" s="5"/>
      <c r="AG33" s="6"/>
      <c r="AH33" s="6"/>
      <c r="AK33" s="5"/>
      <c r="AL33" s="5"/>
      <c r="AM33" s="6"/>
      <c r="AN33" s="6"/>
    </row>
    <row r="35" spans="27:40" ht="15">
      <c r="AF35" s="47" t="str">
        <f>City_label</f>
        <v>Bellingham</v>
      </c>
      <c r="AG35" s="297" t="str">
        <f>City_label</f>
        <v>Bellingham</v>
      </c>
      <c r="AH35" s="297"/>
      <c r="AL35" s="16" t="str">
        <f>County_label</f>
        <v>Whatcom County</v>
      </c>
      <c r="AM35" s="297" t="str">
        <f>County_label</f>
        <v>Whatcom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6704</v>
      </c>
      <c r="AF37" s="5">
        <f>AF20</f>
        <v>8728</v>
      </c>
      <c r="AG37" s="6">
        <f>AG20</f>
        <v>8.0825617283950615E-2</v>
      </c>
      <c r="AH37" s="6">
        <f>AH20</f>
        <v>9.6101121987205607E-2</v>
      </c>
      <c r="AI37" t="str">
        <f>TEXT(AF37,"#,##0")&amp;CHAR(10)&amp;"("&amp;TEXT(AH37,"0%"&amp;")")</f>
        <v>8,728
(10%)</v>
      </c>
      <c r="AK37" s="5">
        <f>AK20</f>
        <v>18030</v>
      </c>
      <c r="AL37" s="5">
        <f>AL20</f>
        <v>21734</v>
      </c>
      <c r="AM37" s="6">
        <f>AM20</f>
        <v>8.7059391598261704E-2</v>
      </c>
      <c r="AN37" s="6">
        <f>AN20</f>
        <v>9.6794306531633845E-2</v>
      </c>
    </row>
    <row r="38" spans="27:40">
      <c r="AC38" t="s">
        <v>2739</v>
      </c>
      <c r="AE38" s="5">
        <f>SUM(AE14:AE19)</f>
        <v>10625</v>
      </c>
      <c r="AF38" s="5">
        <f>SUM(AF14:AF19)</f>
        <v>11809</v>
      </c>
      <c r="AG38" s="6">
        <f>SUM(AG14:AG19)</f>
        <v>0.12809847608024691</v>
      </c>
      <c r="AH38" s="6">
        <f>SUM(AH14:AH19)</f>
        <v>0.13002499421939862</v>
      </c>
      <c r="AI38" t="str">
        <f>TEXT(AF38,"#,##0")&amp;CHAR(10)&amp;"("&amp;TEXT(AH38,"0%"&amp;")")</f>
        <v>11,809
(13%)</v>
      </c>
      <c r="AK38" s="5">
        <f>SUM(AK14:AK19)</f>
        <v>22787</v>
      </c>
      <c r="AL38" s="5">
        <f>SUM(AL14:AL19)</f>
        <v>27467</v>
      </c>
      <c r="AM38" s="6">
        <f>SUM(AM14:AM19)</f>
        <v>0.11002897151134716</v>
      </c>
      <c r="AN38" s="6">
        <f>SUM(AN14:AN19)</f>
        <v>0.12232673311421674</v>
      </c>
    </row>
    <row r="39" spans="27:40">
      <c r="AC39" t="s">
        <v>2672</v>
      </c>
      <c r="AE39" s="5">
        <f>AE13</f>
        <v>65615</v>
      </c>
      <c r="AF39" s="5">
        <f>AF13</f>
        <v>70284</v>
      </c>
      <c r="AG39" s="6">
        <f>AG13</f>
        <v>0.79107590663580252</v>
      </c>
      <c r="AH39" s="6">
        <f>AH13</f>
        <v>0.77387388379339583</v>
      </c>
      <c r="AI39" t="str">
        <f>TEXT(AF39,"#,##0")&amp;CHAR(10)&amp;"("&amp;TEXT(AH39,"0%"&amp;")")</f>
        <v>70,284
(77%)</v>
      </c>
      <c r="AK39" s="5">
        <f>AK13</f>
        <v>166283</v>
      </c>
      <c r="AL39" s="5">
        <f>AL13</f>
        <v>175337</v>
      </c>
      <c r="AM39" s="6">
        <f>AM13</f>
        <v>0.80291163689039113</v>
      </c>
      <c r="AN39" s="6">
        <f>AN13</f>
        <v>0.78087896035414939</v>
      </c>
    </row>
    <row r="40" spans="27:40" ht="14.25" customHeight="1">
      <c r="AD40" t="s">
        <v>2667</v>
      </c>
      <c r="AE40" s="37">
        <f>SUM(AE37:AE38)</f>
        <v>17329</v>
      </c>
      <c r="AF40" s="37">
        <f>SUM(AF37:AF38)</f>
        <v>20537</v>
      </c>
      <c r="AG40" s="53">
        <f>SUM(AG37:AG38)</f>
        <v>0.20892409336419754</v>
      </c>
      <c r="AH40" s="53">
        <f>SUM(AH37:AH38)</f>
        <v>0.22612611620660422</v>
      </c>
      <c r="AK40" s="37">
        <f>SUM(AK37:AK38)</f>
        <v>40817</v>
      </c>
      <c r="AL40" s="37">
        <f>SUM(AL37:AL38)</f>
        <v>49201</v>
      </c>
      <c r="AM40" s="53">
        <f>SUM(AM37:AM38)</f>
        <v>0.19708836310960887</v>
      </c>
      <c r="AN40" s="53">
        <f>SUM(AN37:AN38)</f>
        <v>0.21912103964585058</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Bellingham</v>
      </c>
      <c r="AF49" s="36" t="str">
        <f>City_label</f>
        <v>Bellingham</v>
      </c>
      <c r="AG49" s="36" t="str">
        <f>City_label</f>
        <v>Bellingham</v>
      </c>
      <c r="AH49" s="98" t="str">
        <f>IF(AH50&gt;=1, "Small Numbers", "")</f>
        <v/>
      </c>
      <c r="AK49" s="36" t="str">
        <f>City_label</f>
        <v>Bellingham</v>
      </c>
      <c r="AL49" s="36" t="str">
        <f>City_label</f>
        <v>Bellingham</v>
      </c>
      <c r="AM49" s="36" t="str">
        <f>City_label</f>
        <v>Bellingham</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65615</v>
      </c>
      <c r="AF52" s="1">
        <v>875</v>
      </c>
      <c r="AG52" s="6">
        <f t="shared" ref="AG52:AG60" si="9">IFERROR(((AF52/1.645)/AE52), 0)</f>
        <v>8.1066050997031357E-3</v>
      </c>
      <c r="AH52" s="98">
        <f>IF(AG52&gt;MOE_Threshold, 1, 0)</f>
        <v>0</v>
      </c>
      <c r="AK52" s="1">
        <v>70284</v>
      </c>
      <c r="AL52" s="1">
        <v>1168</v>
      </c>
      <c r="AM52" s="6">
        <f t="shared" ref="AM52:AM60" si="10">IFERROR(((AL52/1.645)/AK52), 0)</f>
        <v>1.010230486507282E-2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866</v>
      </c>
      <c r="AF53" s="1">
        <v>247</v>
      </c>
      <c r="AG53" s="6">
        <f t="shared" si="9"/>
        <v>0.17338565321465427</v>
      </c>
      <c r="AH53" s="98">
        <f>IF(AG53&gt;MOE_Threshold, 1, 0)</f>
        <v>0</v>
      </c>
      <c r="AK53" s="1">
        <v>1416</v>
      </c>
      <c r="AL53" s="1">
        <v>264</v>
      </c>
      <c r="AM53" s="6">
        <f t="shared" si="10"/>
        <v>0.11333779815568491</v>
      </c>
      <c r="AN53" s="98">
        <f>IF(AM53&gt;MOE_Threshold, 1, 0)</f>
        <v>0</v>
      </c>
    </row>
    <row r="54" spans="3:40">
      <c r="C54" s="50"/>
      <c r="D54" s="50"/>
      <c r="E54" s="50"/>
      <c r="F54" s="50"/>
      <c r="G54" s="50"/>
      <c r="H54" s="50"/>
      <c r="I54" s="50"/>
      <c r="J54" s="50"/>
      <c r="K54" s="50"/>
      <c r="AA54" s="112" t="s">
        <v>2488</v>
      </c>
      <c r="AB54" s="112" t="s">
        <v>2478</v>
      </c>
      <c r="AC54" t="s">
        <v>2674</v>
      </c>
      <c r="AE54" s="1">
        <v>1359</v>
      </c>
      <c r="AF54" s="1">
        <v>390</v>
      </c>
      <c r="AG54" s="6">
        <f t="shared" si="9"/>
        <v>0.17445332367130309</v>
      </c>
      <c r="AH54" s="98"/>
      <c r="AK54" s="1">
        <v>766</v>
      </c>
      <c r="AL54" s="1">
        <v>236</v>
      </c>
      <c r="AM54" s="6">
        <f t="shared" si="10"/>
        <v>0.18729118223590752</v>
      </c>
      <c r="AN54" s="98"/>
    </row>
    <row r="55" spans="3:40">
      <c r="AA55" s="112" t="s">
        <v>2486</v>
      </c>
      <c r="AB55" s="112" t="s">
        <v>2476</v>
      </c>
      <c r="AC55" t="s">
        <v>2666</v>
      </c>
      <c r="AE55" s="1">
        <v>4894</v>
      </c>
      <c r="AF55" s="1">
        <v>535</v>
      </c>
      <c r="AG55" s="6">
        <f t="shared" si="9"/>
        <v>6.6454426547984446E-2</v>
      </c>
      <c r="AH55" s="98">
        <f>IF(AG55&gt;MOE_Threshold, 1, 0)</f>
        <v>0</v>
      </c>
      <c r="AK55" s="1">
        <v>5371</v>
      </c>
      <c r="AL55" s="1">
        <v>646</v>
      </c>
      <c r="AM55" s="6">
        <f t="shared" si="10"/>
        <v>7.3115838237432937E-2</v>
      </c>
      <c r="AN55" s="98">
        <f>IF(AM55&gt;MOE_Threshold, 1, 0)</f>
        <v>0</v>
      </c>
    </row>
    <row r="56" spans="3:40" ht="18">
      <c r="C56" s="51" t="str">
        <f>"Chart 1a. "&amp; City_label &amp; " population by race and Hispanic ethnicity, 2020"</f>
        <v>Chart 1a. Bellingham population by race and Hispanic ethnicity, 2020</v>
      </c>
      <c r="AA56" s="112" t="s">
        <v>2484</v>
      </c>
      <c r="AB56" s="112" t="s">
        <v>2474</v>
      </c>
      <c r="AC56" t="s">
        <v>2675</v>
      </c>
      <c r="AE56" s="1">
        <v>145</v>
      </c>
      <c r="AF56" s="1">
        <v>62</v>
      </c>
      <c r="AG56" s="6">
        <f t="shared" si="9"/>
        <v>0.25993082486112568</v>
      </c>
      <c r="AH56" s="98"/>
      <c r="AK56" s="1">
        <v>125</v>
      </c>
      <c r="AL56" s="1">
        <v>60</v>
      </c>
      <c r="AM56" s="6">
        <f t="shared" si="10"/>
        <v>0.29179331306990886</v>
      </c>
      <c r="AN56" s="98"/>
    </row>
    <row r="57" spans="3:40">
      <c r="AA57" s="112" t="s">
        <v>2482</v>
      </c>
      <c r="AB57" s="112" t="s">
        <v>2472</v>
      </c>
      <c r="AC57" t="s">
        <v>2706</v>
      </c>
      <c r="AE57" s="1">
        <v>54</v>
      </c>
      <c r="AF57" s="1">
        <v>58</v>
      </c>
      <c r="AG57" s="6">
        <f t="shared" si="9"/>
        <v>0.65293256782618481</v>
      </c>
      <c r="AH57" s="98"/>
      <c r="AK57" s="1">
        <v>85</v>
      </c>
      <c r="AL57" s="1">
        <v>66</v>
      </c>
      <c r="AM57" s="6">
        <f t="shared" si="10"/>
        <v>0.47201859467191126</v>
      </c>
      <c r="AN57" s="98"/>
    </row>
    <row r="58" spans="3:40">
      <c r="AA58" s="112" t="s">
        <v>2480</v>
      </c>
      <c r="AB58" s="112" t="s">
        <v>2470</v>
      </c>
      <c r="AC58" t="s">
        <v>2665</v>
      </c>
      <c r="AE58" s="1">
        <v>3307</v>
      </c>
      <c r="AF58" s="1">
        <v>436</v>
      </c>
      <c r="AG58" s="6">
        <f t="shared" si="9"/>
        <v>8.0146837830410392E-2</v>
      </c>
      <c r="AH58" s="98"/>
      <c r="AK58" s="1">
        <v>4046</v>
      </c>
      <c r="AL58" s="1">
        <v>561</v>
      </c>
      <c r="AM58" s="6">
        <f t="shared" si="10"/>
        <v>8.4289034762841317E-2</v>
      </c>
      <c r="AN58" s="98"/>
    </row>
    <row r="59" spans="3:40">
      <c r="AA59" s="112" t="s">
        <v>2496</v>
      </c>
      <c r="AB59" s="112" t="s">
        <v>2494</v>
      </c>
      <c r="AC59" t="s">
        <v>2790</v>
      </c>
      <c r="AE59" s="1">
        <v>6704</v>
      </c>
      <c r="AF59" s="1">
        <v>799</v>
      </c>
      <c r="AG59" s="6">
        <f t="shared" si="9"/>
        <v>7.2451414933515174E-2</v>
      </c>
      <c r="AH59" s="98">
        <f>IF(AG59&gt;MOE_Threshold, 1, 0)</f>
        <v>0</v>
      </c>
      <c r="AK59" s="1">
        <v>8728</v>
      </c>
      <c r="AL59" s="1">
        <v>858</v>
      </c>
      <c r="AM59" s="6">
        <f t="shared" si="10"/>
        <v>5.9759457735158339E-2</v>
      </c>
      <c r="AN59" s="98">
        <f>IF(AM59&gt;MOE_Threshold, 1, 0)</f>
        <v>0</v>
      </c>
    </row>
    <row r="60" spans="3:40" ht="15">
      <c r="AA60" s="112" t="s">
        <v>2500</v>
      </c>
      <c r="AB60" s="112" t="s">
        <v>2498</v>
      </c>
      <c r="AC60" s="16" t="s">
        <v>2667</v>
      </c>
      <c r="AE60" s="2">
        <v>82944</v>
      </c>
      <c r="AF60" s="2">
        <v>53</v>
      </c>
      <c r="AG60" s="6">
        <f t="shared" si="9"/>
        <v>3.8844093587001385E-4</v>
      </c>
      <c r="AH60" s="98">
        <f>IF(AG60&gt;MOE_Threshold, 1, 0)</f>
        <v>0</v>
      </c>
      <c r="AK60" s="2">
        <v>90821</v>
      </c>
      <c r="AL60" s="2">
        <v>48</v>
      </c>
      <c r="AM60" s="6">
        <f t="shared" si="10"/>
        <v>3.2128396854241728E-4</v>
      </c>
      <c r="AN60" s="98">
        <f>IF(AM60&gt;MOE_Threshold, 1, 0)</f>
        <v>0</v>
      </c>
    </row>
    <row r="61" spans="3:40">
      <c r="AE61" s="1"/>
      <c r="AF61" s="1"/>
      <c r="AK61" s="1"/>
      <c r="AL61" s="1"/>
      <c r="AN61" s="98"/>
    </row>
    <row r="62" spans="3:40">
      <c r="AN62" s="98"/>
    </row>
    <row r="63" spans="3:40">
      <c r="AN63" s="98"/>
    </row>
    <row r="64" spans="3:40" ht="15">
      <c r="AF64" s="36" t="str">
        <f>County_label</f>
        <v>Whatcom County</v>
      </c>
      <c r="AG64" s="36" t="str">
        <f>County_label</f>
        <v>Whatcom County</v>
      </c>
      <c r="AH64" t="str">
        <f>IF(AH65&gt;=1, "Small Numbers", "")</f>
        <v/>
      </c>
      <c r="AK64" s="36" t="str">
        <f>County_label</f>
        <v>Whatcom County</v>
      </c>
      <c r="AL64" s="36" t="str">
        <f>County_label</f>
        <v>Whatcom County</v>
      </c>
      <c r="AM64" s="36" t="str">
        <f>County_label</f>
        <v>Whatcom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166283</v>
      </c>
      <c r="AF67" s="1">
        <v>155</v>
      </c>
      <c r="AG67" s="6">
        <f t="shared" ref="AG67:AG75" si="11">IFERROR(((AF67/1.645)/AE67), 0)</f>
        <v>5.6665398153844988E-4</v>
      </c>
      <c r="AH67" s="98">
        <f>IF(AG67&gt;MOE_Threshold, 1, 0)</f>
        <v>0</v>
      </c>
      <c r="AK67" s="1">
        <v>175337</v>
      </c>
      <c r="AL67" s="1">
        <v>559</v>
      </c>
      <c r="AM67" s="6">
        <f t="shared" ref="AM67:AM75" si="12">IFERROR(((AL67/1.645)/AK67), 0)</f>
        <v>1.9380828300890928E-3</v>
      </c>
      <c r="AN67" s="98">
        <f>IF(AM67&gt;MOE_Threshold, 1, 0)</f>
        <v>0</v>
      </c>
    </row>
    <row r="68" spans="3:40">
      <c r="AA68" s="112" t="s">
        <v>2490</v>
      </c>
      <c r="AB68" s="112" t="s">
        <v>2480</v>
      </c>
      <c r="AC68" t="s">
        <v>2673</v>
      </c>
      <c r="AE68" s="1">
        <v>1705</v>
      </c>
      <c r="AF68" s="1">
        <v>250</v>
      </c>
      <c r="AG68" s="6">
        <f t="shared" si="11"/>
        <v>8.9135298469546917E-2</v>
      </c>
      <c r="AH68" s="98">
        <f>IF(AG68&gt;MOE_Threshold, 1, 0)</f>
        <v>0</v>
      </c>
      <c r="AK68" s="1">
        <v>2123</v>
      </c>
      <c r="AL68" s="1">
        <v>250</v>
      </c>
      <c r="AM68" s="6">
        <f t="shared" si="12"/>
        <v>7.1585343330465137E-2</v>
      </c>
      <c r="AN68" s="98">
        <f>IF(AM68&gt;MOE_Threshold, 1, 0)</f>
        <v>0</v>
      </c>
    </row>
    <row r="69" spans="3:40">
      <c r="AA69" s="112" t="s">
        <v>2488</v>
      </c>
      <c r="AB69" s="112" t="s">
        <v>2478</v>
      </c>
      <c r="AC69" t="s">
        <v>2674</v>
      </c>
      <c r="AE69" s="1">
        <v>5385</v>
      </c>
      <c r="AF69" s="1">
        <v>375</v>
      </c>
      <c r="AG69" s="6">
        <f t="shared" si="11"/>
        <v>4.2333059579548048E-2</v>
      </c>
      <c r="AH69" s="98"/>
      <c r="AK69" s="1">
        <v>5185</v>
      </c>
      <c r="AL69" s="1">
        <v>381</v>
      </c>
      <c r="AM69" s="6">
        <f t="shared" si="12"/>
        <v>4.4669419913064633E-2</v>
      </c>
      <c r="AN69" s="98"/>
    </row>
    <row r="70" spans="3:40">
      <c r="AA70" s="112" t="s">
        <v>2486</v>
      </c>
      <c r="AB70" s="112" t="s">
        <v>2476</v>
      </c>
      <c r="AC70" t="s">
        <v>2666</v>
      </c>
      <c r="AE70" s="1">
        <v>8079</v>
      </c>
      <c r="AF70" s="1">
        <v>346</v>
      </c>
      <c r="AG70" s="6">
        <f t="shared" si="11"/>
        <v>2.6034700644208351E-2</v>
      </c>
      <c r="AH70" s="98">
        <f>IF(AG70&gt;MOE_Threshold, 1, 0)</f>
        <v>0</v>
      </c>
      <c r="AK70" s="1">
        <v>9003</v>
      </c>
      <c r="AL70" s="1">
        <v>621</v>
      </c>
      <c r="AM70" s="6">
        <f t="shared" si="12"/>
        <v>4.1931311649916085E-2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582</v>
      </c>
      <c r="AF71" s="1">
        <v>69</v>
      </c>
      <c r="AG71" s="6">
        <f t="shared" si="11"/>
        <v>7.2070942875943969E-2</v>
      </c>
      <c r="AH71" s="98"/>
      <c r="AK71" s="1">
        <v>518</v>
      </c>
      <c r="AL71" s="1">
        <v>78</v>
      </c>
      <c r="AM71" s="6">
        <f t="shared" si="12"/>
        <v>9.1537477555714633E-2</v>
      </c>
      <c r="AN71" s="98"/>
    </row>
    <row r="72" spans="3:40">
      <c r="C72" s="298"/>
      <c r="D72" s="298"/>
      <c r="E72" s="298"/>
      <c r="F72" s="298"/>
      <c r="G72" s="298"/>
      <c r="H72" s="298"/>
      <c r="I72" s="298"/>
      <c r="J72" s="298"/>
      <c r="K72" s="298"/>
      <c r="AA72" s="112" t="s">
        <v>2482</v>
      </c>
      <c r="AB72" s="112" t="s">
        <v>2472</v>
      </c>
      <c r="AC72" t="s">
        <v>2706</v>
      </c>
      <c r="AE72" s="1">
        <v>234</v>
      </c>
      <c r="AF72" s="1">
        <v>149</v>
      </c>
      <c r="AG72" s="6">
        <f t="shared" si="11"/>
        <v>0.38708336580677005</v>
      </c>
      <c r="AH72" s="98"/>
      <c r="AK72" s="1">
        <v>484</v>
      </c>
      <c r="AL72" s="1">
        <v>485</v>
      </c>
      <c r="AM72" s="6">
        <f t="shared" si="12"/>
        <v>0.60915873294983547</v>
      </c>
      <c r="AN72" s="98"/>
    </row>
    <row r="73" spans="3:40">
      <c r="AA73" s="112" t="s">
        <v>2480</v>
      </c>
      <c r="AB73" s="112" t="s">
        <v>2470</v>
      </c>
      <c r="AC73" t="s">
        <v>2665</v>
      </c>
      <c r="AE73" s="1">
        <v>6802</v>
      </c>
      <c r="AF73" s="1">
        <v>554</v>
      </c>
      <c r="AG73" s="6">
        <f t="shared" si="11"/>
        <v>4.9511631211631837E-2</v>
      </c>
      <c r="AH73" s="98"/>
      <c r="AK73" s="1">
        <v>10154</v>
      </c>
      <c r="AL73" s="1">
        <v>897</v>
      </c>
      <c r="AM73" s="6">
        <f t="shared" si="12"/>
        <v>5.3701866633779016E-2</v>
      </c>
      <c r="AN73" s="98"/>
    </row>
    <row r="74" spans="3:40" ht="18" customHeight="1">
      <c r="C74" s="301" t="str">
        <f>"Table 2. Racial composition percentage of "&amp; City_label &amp; " and " &amp; County_label&amp; " 2015 and 2020"</f>
        <v>Table 2. Racial composition percentage of Bellingham and Whatcom County 2015 and 2020</v>
      </c>
      <c r="D74" s="301"/>
      <c r="E74" s="301"/>
      <c r="F74" s="301"/>
      <c r="G74" s="301"/>
      <c r="H74" s="301"/>
      <c r="I74" s="301"/>
      <c r="J74" s="301"/>
      <c r="K74" s="301"/>
      <c r="L74" s="301"/>
      <c r="M74" s="301"/>
      <c r="AA74" s="112" t="s">
        <v>2496</v>
      </c>
      <c r="AB74" s="112" t="s">
        <v>2494</v>
      </c>
      <c r="AC74" t="s">
        <v>2790</v>
      </c>
      <c r="AE74" s="1">
        <v>18030</v>
      </c>
      <c r="AF74" s="1" t="s">
        <v>2425</v>
      </c>
      <c r="AG74" s="6">
        <f t="shared" si="11"/>
        <v>0</v>
      </c>
      <c r="AH74" s="98">
        <f>IF(AG74&gt;MOE_Threshold, 1, 0)</f>
        <v>0</v>
      </c>
      <c r="AK74" s="1">
        <v>21734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207100</v>
      </c>
      <c r="AF75" s="1" t="s">
        <v>2425</v>
      </c>
      <c r="AG75" s="6">
        <f t="shared" si="11"/>
        <v>0</v>
      </c>
      <c r="AH75" s="98">
        <f>IF(AG75&gt;MOE_Threshold, 1, 0)</f>
        <v>0</v>
      </c>
      <c r="AK75" s="2">
        <v>224538</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Bellingham</v>
      </c>
      <c r="G77" s="303"/>
      <c r="H77" s="303" t="str">
        <f>County_label</f>
        <v>Whatcom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5.900366512345679E-2</v>
      </c>
      <c r="G79" s="179">
        <f t="shared" si="13"/>
        <v>5.9138305017562016E-2</v>
      </c>
      <c r="H79" s="179">
        <f t="shared" ref="H79:I83" si="14">AM26</f>
        <v>3.9010140028971511E-2</v>
      </c>
      <c r="I79" s="179">
        <f t="shared" si="14"/>
        <v>4.009566309488817E-2</v>
      </c>
    </row>
    <row r="80" spans="3:40">
      <c r="C80" s="29" t="s">
        <v>2673</v>
      </c>
      <c r="D80" s="29"/>
      <c r="E80" s="29"/>
      <c r="F80" s="101">
        <f t="shared" si="13"/>
        <v>1.0440779320987654E-2</v>
      </c>
      <c r="G80" s="101">
        <f t="shared" si="13"/>
        <v>1.5591107783442155E-2</v>
      </c>
      <c r="H80" s="101">
        <f t="shared" si="14"/>
        <v>8.2327378078223077E-3</v>
      </c>
      <c r="I80" s="101">
        <f t="shared" si="14"/>
        <v>9.4549697601296889E-3</v>
      </c>
    </row>
    <row r="81" spans="3:10">
      <c r="C81" s="29" t="s">
        <v>2790</v>
      </c>
      <c r="D81" s="29"/>
      <c r="E81" s="29"/>
      <c r="F81" s="179">
        <f t="shared" si="13"/>
        <v>8.0825617283950615E-2</v>
      </c>
      <c r="G81" s="179">
        <f t="shared" si="13"/>
        <v>9.6101121987205607E-2</v>
      </c>
      <c r="H81" s="179">
        <f t="shared" si="14"/>
        <v>8.7059391598261704E-2</v>
      </c>
      <c r="I81" s="179">
        <f t="shared" si="14"/>
        <v>9.6794306531633845E-2</v>
      </c>
    </row>
    <row r="82" spans="3:10">
      <c r="C82" s="29" t="s">
        <v>2706</v>
      </c>
      <c r="D82" s="29"/>
      <c r="E82" s="29"/>
      <c r="F82" s="101">
        <f t="shared" si="13"/>
        <v>5.8654031635802469E-2</v>
      </c>
      <c r="G82" s="101">
        <f t="shared" si="13"/>
        <v>5.5295581418394427E-2</v>
      </c>
      <c r="H82" s="101">
        <f t="shared" si="14"/>
        <v>6.2786093674553359E-2</v>
      </c>
      <c r="I82" s="101">
        <f t="shared" si="14"/>
        <v>7.2776100259198895E-2</v>
      </c>
    </row>
    <row r="83" spans="3:10" ht="13.9" customHeight="1">
      <c r="C83" s="29" t="s">
        <v>2672</v>
      </c>
      <c r="D83" s="29"/>
      <c r="E83" s="29"/>
      <c r="F83" s="179">
        <f t="shared" si="13"/>
        <v>0.79107590663580252</v>
      </c>
      <c r="G83" s="179">
        <f t="shared" si="13"/>
        <v>0.77387388379339583</v>
      </c>
      <c r="H83" s="179">
        <f t="shared" si="14"/>
        <v>0.80291163689039113</v>
      </c>
      <c r="I83" s="179">
        <f t="shared" si="14"/>
        <v>0.78087896035414939</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Bellingham and Whatcom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Bellingham and Whatcom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Bellingham and Whatcom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Bellingham number of households by housing cost burden, 2019</v>
      </c>
      <c r="J4" t="s">
        <v>2791</v>
      </c>
      <c r="R4" s="16" t="s">
        <v>2702</v>
      </c>
      <c r="S4" s="52" t="str">
        <f>City</f>
        <v>Bellingham city, Washington</v>
      </c>
    </row>
    <row r="5" spans="3:66" ht="15.75" customHeight="1" thickBot="1">
      <c r="R5" s="16" t="s">
        <v>2703</v>
      </c>
      <c r="S5" s="52" t="str">
        <f>County</f>
        <v>Whatcom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11755</v>
      </c>
      <c r="G10" s="102">
        <f t="shared" si="0"/>
        <v>45</v>
      </c>
      <c r="H10" s="102">
        <f t="shared" si="0"/>
        <v>505</v>
      </c>
      <c r="I10" s="102">
        <f t="shared" si="0"/>
        <v>115</v>
      </c>
      <c r="J10" s="102">
        <f t="shared" si="0"/>
        <v>30</v>
      </c>
      <c r="K10" s="102">
        <f t="shared" si="0"/>
        <v>130</v>
      </c>
      <c r="L10" s="102">
        <f t="shared" si="0"/>
        <v>360</v>
      </c>
      <c r="M10" s="102">
        <f>SUM(F10:L10)</f>
        <v>12940</v>
      </c>
      <c r="S10" s="33" t="s">
        <v>12</v>
      </c>
      <c r="T10" s="5">
        <f t="shared" ref="T10:AA13" si="1">T30+T50</f>
        <v>19170</v>
      </c>
      <c r="U10" s="5">
        <f t="shared" si="1"/>
        <v>195</v>
      </c>
      <c r="V10" s="5">
        <f t="shared" si="1"/>
        <v>945</v>
      </c>
      <c r="W10" s="5">
        <f t="shared" si="1"/>
        <v>215</v>
      </c>
      <c r="X10" s="5">
        <f t="shared" si="1"/>
        <v>30</v>
      </c>
      <c r="Y10" s="5">
        <f t="shared" si="1"/>
        <v>305</v>
      </c>
      <c r="Z10" s="5">
        <f t="shared" si="1"/>
        <v>1055</v>
      </c>
      <c r="AA10" s="5">
        <f t="shared" si="1"/>
        <v>21915</v>
      </c>
      <c r="AB10" s="5"/>
      <c r="AC10" s="5"/>
      <c r="AD10" s="33" t="s">
        <v>12</v>
      </c>
      <c r="AE10" s="5">
        <f>V10</f>
        <v>945</v>
      </c>
      <c r="AF10" s="5">
        <f>U10</f>
        <v>195</v>
      </c>
      <c r="AG10" s="5">
        <f>'Cost Burden'!Z10</f>
        <v>1055</v>
      </c>
      <c r="AH10" s="5">
        <f>SUM(W10:Y10)</f>
        <v>550</v>
      </c>
      <c r="AI10" s="5">
        <f t="shared" ref="AI10" si="2">SUM(U10:Z10)</f>
        <v>2745</v>
      </c>
      <c r="AJ10" s="5">
        <f>T10</f>
        <v>19170</v>
      </c>
      <c r="AK10" s="5">
        <f t="shared" ref="AK10" si="3">SUM(AJ10,AE10:AH10)</f>
        <v>21915</v>
      </c>
      <c r="AQ10" s="31"/>
      <c r="BC10" s="41"/>
      <c r="BG10" s="311"/>
      <c r="BH10" s="311"/>
      <c r="BI10" s="311"/>
    </row>
    <row r="11" spans="3:66" ht="13.9" customHeight="1">
      <c r="C11" s="69" t="str">
        <f>S36</f>
        <v>Total Cost-Burdened</v>
      </c>
      <c r="D11" s="29"/>
      <c r="E11" s="29"/>
      <c r="F11" s="102">
        <f>T36</f>
        <v>3200</v>
      </c>
      <c r="G11" s="102">
        <f t="shared" ref="G11:L11" si="4">U36</f>
        <v>0</v>
      </c>
      <c r="H11" s="102">
        <f t="shared" si="4"/>
        <v>200</v>
      </c>
      <c r="I11" s="102">
        <f t="shared" si="4"/>
        <v>35</v>
      </c>
      <c r="J11" s="102">
        <f t="shared" si="4"/>
        <v>0</v>
      </c>
      <c r="K11" s="102">
        <f t="shared" si="4"/>
        <v>80</v>
      </c>
      <c r="L11" s="102">
        <f t="shared" si="4"/>
        <v>175</v>
      </c>
      <c r="M11" s="102">
        <f t="shared" ref="M11:M14" si="5">SUM(F11:L11)</f>
        <v>3690</v>
      </c>
      <c r="S11" s="33" t="s">
        <v>1981</v>
      </c>
      <c r="T11" s="5">
        <f t="shared" si="1"/>
        <v>5565</v>
      </c>
      <c r="U11" s="5">
        <f t="shared" si="1"/>
        <v>40</v>
      </c>
      <c r="V11" s="5">
        <f t="shared" si="1"/>
        <v>185</v>
      </c>
      <c r="W11" s="5">
        <f t="shared" si="1"/>
        <v>115</v>
      </c>
      <c r="X11" s="5">
        <f t="shared" si="1"/>
        <v>15</v>
      </c>
      <c r="Y11" s="5">
        <f t="shared" si="1"/>
        <v>370</v>
      </c>
      <c r="Z11" s="5">
        <f t="shared" si="1"/>
        <v>600</v>
      </c>
      <c r="AA11" s="5">
        <f t="shared" si="1"/>
        <v>6890</v>
      </c>
      <c r="AB11" s="5"/>
      <c r="AC11" s="5"/>
      <c r="AD11" s="33" t="s">
        <v>1981</v>
      </c>
      <c r="AE11" s="5">
        <f t="shared" ref="AE11:AE14" si="6">V11</f>
        <v>185</v>
      </c>
      <c r="AF11" s="5">
        <f t="shared" ref="AF11:AF13" si="7">U11</f>
        <v>40</v>
      </c>
      <c r="AG11" s="5">
        <f>'Cost Burden'!Z11</f>
        <v>600</v>
      </c>
      <c r="AH11" s="5">
        <f t="shared" ref="AH11:AH13" si="8">SUM(W11:Y11)</f>
        <v>500</v>
      </c>
      <c r="AI11" s="5">
        <f t="shared" ref="AI11:AI13" si="9">SUM(U11:Z11)</f>
        <v>1325</v>
      </c>
      <c r="AJ11" s="5">
        <f t="shared" ref="AJ11:AJ13" si="10">T11</f>
        <v>5565</v>
      </c>
      <c r="AK11" s="5">
        <f t="shared" ref="AK11:AK13" si="11">SUM(AJ11,AE11:AH11)</f>
        <v>6890</v>
      </c>
      <c r="AQ11" s="31"/>
      <c r="BC11" s="41"/>
      <c r="BH11" s="197"/>
    </row>
    <row r="12" spans="3:66">
      <c r="C12" s="117" t="str">
        <f>S31</f>
        <v>Cost-Burdened (30-50%)</v>
      </c>
      <c r="D12" s="118"/>
      <c r="E12" s="118"/>
      <c r="F12" s="214">
        <f t="shared" ref="F12:L14" si="12">T31</f>
        <v>2000</v>
      </c>
      <c r="G12" s="214">
        <f t="shared" si="12"/>
        <v>0</v>
      </c>
      <c r="H12" s="214">
        <f t="shared" si="12"/>
        <v>80</v>
      </c>
      <c r="I12" s="214">
        <f t="shared" si="12"/>
        <v>20</v>
      </c>
      <c r="J12" s="214">
        <f t="shared" si="12"/>
        <v>0</v>
      </c>
      <c r="K12" s="214">
        <f t="shared" si="12"/>
        <v>70</v>
      </c>
      <c r="L12" s="214">
        <f t="shared" si="12"/>
        <v>70</v>
      </c>
      <c r="M12" s="214">
        <f t="shared" si="5"/>
        <v>2240</v>
      </c>
      <c r="S12" s="33" t="s">
        <v>1982</v>
      </c>
      <c r="T12" s="5">
        <f t="shared" si="1"/>
        <v>5965</v>
      </c>
      <c r="U12" s="5">
        <f t="shared" si="1"/>
        <v>145</v>
      </c>
      <c r="V12" s="5">
        <f t="shared" si="1"/>
        <v>415</v>
      </c>
      <c r="W12" s="5">
        <f t="shared" si="1"/>
        <v>100</v>
      </c>
      <c r="X12" s="5">
        <f t="shared" si="1"/>
        <v>30</v>
      </c>
      <c r="Y12" s="5">
        <f t="shared" si="1"/>
        <v>315</v>
      </c>
      <c r="Z12" s="5">
        <f t="shared" si="1"/>
        <v>655</v>
      </c>
      <c r="AA12" s="5">
        <f t="shared" si="1"/>
        <v>7625</v>
      </c>
      <c r="AB12" s="5"/>
      <c r="AC12" s="5"/>
      <c r="AD12" s="33" t="s">
        <v>1982</v>
      </c>
      <c r="AE12" s="5">
        <f t="shared" si="6"/>
        <v>415</v>
      </c>
      <c r="AF12" s="5">
        <f t="shared" si="7"/>
        <v>145</v>
      </c>
      <c r="AG12" s="5">
        <f>'Cost Burden'!Z12</f>
        <v>655</v>
      </c>
      <c r="AH12" s="5">
        <f t="shared" si="8"/>
        <v>445</v>
      </c>
      <c r="AI12" s="5">
        <f t="shared" si="9"/>
        <v>1660</v>
      </c>
      <c r="AJ12" s="5">
        <f t="shared" si="10"/>
        <v>5965</v>
      </c>
      <c r="AK12" s="5">
        <f t="shared" si="11"/>
        <v>7625</v>
      </c>
      <c r="AQ12" s="31"/>
      <c r="BC12" s="41"/>
      <c r="BG12" s="311" t="s">
        <v>1981</v>
      </c>
      <c r="BH12" s="311"/>
      <c r="BI12" s="311"/>
    </row>
    <row r="13" spans="3:66">
      <c r="C13" s="117" t="str">
        <f>S32</f>
        <v>Severely Cost-Burdened (&gt;50%)</v>
      </c>
      <c r="D13" s="118"/>
      <c r="E13" s="118"/>
      <c r="F13" s="214">
        <f t="shared" si="12"/>
        <v>1200</v>
      </c>
      <c r="G13" s="214">
        <f t="shared" si="12"/>
        <v>0</v>
      </c>
      <c r="H13" s="214">
        <f t="shared" si="12"/>
        <v>120</v>
      </c>
      <c r="I13" s="214">
        <f t="shared" si="12"/>
        <v>15</v>
      </c>
      <c r="J13" s="214">
        <f t="shared" si="12"/>
        <v>0</v>
      </c>
      <c r="K13" s="214">
        <f t="shared" si="12"/>
        <v>10</v>
      </c>
      <c r="L13" s="214">
        <f t="shared" si="12"/>
        <v>105</v>
      </c>
      <c r="M13" s="214">
        <f t="shared" si="5"/>
        <v>1450</v>
      </c>
      <c r="S13" s="33" t="s">
        <v>13</v>
      </c>
      <c r="T13" s="5">
        <f t="shared" si="1"/>
        <v>230</v>
      </c>
      <c r="U13" s="5">
        <f t="shared" si="1"/>
        <v>0</v>
      </c>
      <c r="V13" s="5">
        <f t="shared" si="1"/>
        <v>75</v>
      </c>
      <c r="W13" s="5">
        <f t="shared" si="1"/>
        <v>0</v>
      </c>
      <c r="X13" s="5">
        <f t="shared" si="1"/>
        <v>0</v>
      </c>
      <c r="Y13" s="5">
        <f t="shared" si="1"/>
        <v>20</v>
      </c>
      <c r="Z13" s="5">
        <f t="shared" si="1"/>
        <v>120</v>
      </c>
      <c r="AA13" s="5">
        <f t="shared" si="1"/>
        <v>445</v>
      </c>
      <c r="AB13" s="5"/>
      <c r="AC13" s="5"/>
      <c r="AD13" s="33" t="s">
        <v>13</v>
      </c>
      <c r="AE13" s="5">
        <f t="shared" si="6"/>
        <v>75</v>
      </c>
      <c r="AF13" s="5">
        <f t="shared" si="7"/>
        <v>0</v>
      </c>
      <c r="AG13" s="5">
        <f>'Cost Burden'!Z13</f>
        <v>120</v>
      </c>
      <c r="AH13" s="5">
        <f t="shared" si="8"/>
        <v>20</v>
      </c>
      <c r="AI13" s="5">
        <f t="shared" si="9"/>
        <v>215</v>
      </c>
      <c r="AJ13" s="5">
        <f t="shared" si="10"/>
        <v>230</v>
      </c>
      <c r="AK13" s="5">
        <f t="shared" si="11"/>
        <v>445</v>
      </c>
      <c r="BC13" s="41"/>
      <c r="BG13" s="311"/>
      <c r="BH13" s="311"/>
      <c r="BI13" s="311"/>
    </row>
    <row r="14" spans="3:66" ht="15">
      <c r="C14" s="69" t="str">
        <f>S33</f>
        <v>Not Calculated</v>
      </c>
      <c r="D14" s="29"/>
      <c r="E14" s="29"/>
      <c r="F14" s="103">
        <f t="shared" si="12"/>
        <v>75</v>
      </c>
      <c r="G14" s="103">
        <f t="shared" si="12"/>
        <v>0</v>
      </c>
      <c r="H14" s="103">
        <f t="shared" si="12"/>
        <v>0</v>
      </c>
      <c r="I14" s="103">
        <f t="shared" si="12"/>
        <v>0</v>
      </c>
      <c r="J14" s="103">
        <f t="shared" si="12"/>
        <v>0</v>
      </c>
      <c r="K14" s="103">
        <f t="shared" si="12"/>
        <v>0</v>
      </c>
      <c r="L14" s="103">
        <f t="shared" si="12"/>
        <v>20</v>
      </c>
      <c r="M14" s="103">
        <f t="shared" si="5"/>
        <v>95</v>
      </c>
      <c r="S14" s="33" t="s">
        <v>1</v>
      </c>
      <c r="T14" s="37">
        <f t="shared" ref="T14:Z14" si="13">SUM(T10:T13)</f>
        <v>30930</v>
      </c>
      <c r="U14" s="37">
        <f t="shared" si="13"/>
        <v>380</v>
      </c>
      <c r="V14" s="37">
        <f t="shared" si="13"/>
        <v>1620</v>
      </c>
      <c r="W14" s="37">
        <f t="shared" si="13"/>
        <v>430</v>
      </c>
      <c r="X14" s="37">
        <f t="shared" si="13"/>
        <v>75</v>
      </c>
      <c r="Y14" s="37">
        <f t="shared" si="13"/>
        <v>1010</v>
      </c>
      <c r="Z14" s="37">
        <f t="shared" si="13"/>
        <v>2430</v>
      </c>
      <c r="AA14" s="37">
        <f>AA34+AA54</f>
        <v>36860</v>
      </c>
      <c r="AB14" s="5"/>
      <c r="AC14" s="5"/>
      <c r="AD14" s="34" t="s">
        <v>1</v>
      </c>
      <c r="AE14" s="37">
        <f t="shared" si="6"/>
        <v>1620</v>
      </c>
      <c r="AF14" s="37">
        <f t="shared" ref="AF14" si="14">U14</f>
        <v>380</v>
      </c>
      <c r="AG14" s="37">
        <f>'Cost Burden'!Z14</f>
        <v>2430</v>
      </c>
      <c r="AH14" s="37">
        <f t="shared" ref="AH14" si="15">SUM(W14:Y14)</f>
        <v>1515</v>
      </c>
      <c r="AI14" s="37">
        <f t="shared" ref="AI14" si="16">SUM(U14:Z14)</f>
        <v>5945</v>
      </c>
      <c r="AJ14" s="37">
        <f t="shared" ref="AJ14" si="17">T14</f>
        <v>30930</v>
      </c>
      <c r="AK14" s="58">
        <f>AA14</f>
        <v>36860</v>
      </c>
      <c r="BC14" s="41"/>
      <c r="BH14" s="196"/>
    </row>
    <row r="15" spans="3:66" ht="15">
      <c r="C15" s="29"/>
      <c r="D15" s="29"/>
      <c r="E15" s="75" t="str">
        <f>S14</f>
        <v>Total</v>
      </c>
      <c r="F15" s="104">
        <f>T34</f>
        <v>15025</v>
      </c>
      <c r="G15" s="104">
        <f t="shared" ref="G15:L15" si="18">U34</f>
        <v>45</v>
      </c>
      <c r="H15" s="104">
        <f t="shared" si="18"/>
        <v>705</v>
      </c>
      <c r="I15" s="104">
        <f t="shared" si="18"/>
        <v>150</v>
      </c>
      <c r="J15" s="104">
        <f t="shared" si="18"/>
        <v>30</v>
      </c>
      <c r="K15" s="104">
        <f t="shared" si="18"/>
        <v>210</v>
      </c>
      <c r="L15" s="104">
        <f t="shared" si="18"/>
        <v>555</v>
      </c>
      <c r="M15" s="104">
        <f>SUM(F15:L15)</f>
        <v>16720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8330</v>
      </c>
      <c r="U16" s="114">
        <f t="shared" si="20"/>
        <v>185</v>
      </c>
      <c r="V16" s="114">
        <f t="shared" si="20"/>
        <v>400</v>
      </c>
      <c r="W16" s="114">
        <f t="shared" si="20"/>
        <v>180</v>
      </c>
      <c r="X16" s="114">
        <f t="shared" si="20"/>
        <v>45</v>
      </c>
      <c r="Y16" s="114">
        <f t="shared" si="20"/>
        <v>605</v>
      </c>
      <c r="Z16" s="114">
        <f t="shared" si="20"/>
        <v>1080</v>
      </c>
      <c r="AA16" s="5"/>
      <c r="AB16" s="5"/>
      <c r="AC16" s="5"/>
      <c r="AD16" s="114" t="s">
        <v>2364</v>
      </c>
      <c r="AE16" s="114">
        <f>V16</f>
        <v>400</v>
      </c>
      <c r="AF16" s="114">
        <f>U16</f>
        <v>185</v>
      </c>
      <c r="AG16" s="114">
        <f>'Cost Burden'!Z16</f>
        <v>1080</v>
      </c>
      <c r="AH16" s="114">
        <f>SUM(W16:Y16)</f>
        <v>830</v>
      </c>
      <c r="AI16" s="114">
        <f>SUM(U16:Z16)</f>
        <v>2495</v>
      </c>
      <c r="AJ16" s="114">
        <f>T16</f>
        <v>8330</v>
      </c>
      <c r="AK16" s="114">
        <f>SUM(AJ16,AE16:AH16)</f>
        <v>10825</v>
      </c>
      <c r="BC16" s="41"/>
      <c r="BG16" s="311"/>
      <c r="BH16" s="311"/>
      <c r="BI16" s="311"/>
    </row>
    <row r="17" spans="3:55">
      <c r="C17" s="69" t="str">
        <f>S50</f>
        <v>Not Cost Burdened</v>
      </c>
      <c r="D17" s="29"/>
      <c r="E17" s="29"/>
      <c r="F17" s="102">
        <f t="shared" ref="F17:L17" si="21">T50</f>
        <v>7415</v>
      </c>
      <c r="G17" s="102">
        <f t="shared" si="21"/>
        <v>150</v>
      </c>
      <c r="H17" s="102">
        <f t="shared" si="21"/>
        <v>440</v>
      </c>
      <c r="I17" s="102">
        <f t="shared" si="21"/>
        <v>100</v>
      </c>
      <c r="J17" s="102">
        <f t="shared" si="21"/>
        <v>0</v>
      </c>
      <c r="K17" s="102">
        <f t="shared" si="21"/>
        <v>175</v>
      </c>
      <c r="L17" s="102">
        <f t="shared" si="21"/>
        <v>695</v>
      </c>
      <c r="M17" s="102">
        <f>SUM(F17:L17)</f>
        <v>8975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8330</v>
      </c>
      <c r="G18" s="102">
        <f t="shared" si="22"/>
        <v>185</v>
      </c>
      <c r="H18" s="102">
        <f t="shared" si="22"/>
        <v>400</v>
      </c>
      <c r="I18" s="102">
        <f t="shared" si="22"/>
        <v>180</v>
      </c>
      <c r="J18" s="102">
        <f t="shared" si="22"/>
        <v>45</v>
      </c>
      <c r="K18" s="102">
        <f t="shared" si="22"/>
        <v>605</v>
      </c>
      <c r="L18" s="102">
        <f t="shared" si="22"/>
        <v>1080</v>
      </c>
      <c r="M18" s="102">
        <f t="shared" ref="M18:M21" si="23">SUM(F18:L18)</f>
        <v>10825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3565</v>
      </c>
      <c r="G19" s="119">
        <f t="shared" si="24"/>
        <v>40</v>
      </c>
      <c r="H19" s="119">
        <f t="shared" si="24"/>
        <v>105</v>
      </c>
      <c r="I19" s="119">
        <f t="shared" si="24"/>
        <v>95</v>
      </c>
      <c r="J19" s="119">
        <f t="shared" si="24"/>
        <v>15</v>
      </c>
      <c r="K19" s="119">
        <f t="shared" si="24"/>
        <v>300</v>
      </c>
      <c r="L19" s="119">
        <f t="shared" si="24"/>
        <v>530</v>
      </c>
      <c r="M19" s="102">
        <f t="shared" si="23"/>
        <v>4650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4765</v>
      </c>
      <c r="G20" s="119">
        <f t="shared" si="24"/>
        <v>145</v>
      </c>
      <c r="H20" s="119">
        <f t="shared" si="24"/>
        <v>295</v>
      </c>
      <c r="I20" s="119">
        <f t="shared" si="24"/>
        <v>85</v>
      </c>
      <c r="J20" s="119">
        <f t="shared" si="24"/>
        <v>30</v>
      </c>
      <c r="K20" s="119">
        <f t="shared" si="24"/>
        <v>305</v>
      </c>
      <c r="L20" s="119">
        <f t="shared" si="24"/>
        <v>550</v>
      </c>
      <c r="M20" s="102">
        <f t="shared" si="23"/>
        <v>6175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155</v>
      </c>
      <c r="G21" s="103">
        <f t="shared" si="24"/>
        <v>0</v>
      </c>
      <c r="H21" s="103">
        <f t="shared" si="24"/>
        <v>75</v>
      </c>
      <c r="I21" s="103">
        <f t="shared" si="24"/>
        <v>0</v>
      </c>
      <c r="J21" s="103">
        <f t="shared" si="24"/>
        <v>0</v>
      </c>
      <c r="K21" s="103">
        <f t="shared" si="24"/>
        <v>20</v>
      </c>
      <c r="L21" s="103">
        <f t="shared" si="24"/>
        <v>100</v>
      </c>
      <c r="M21" s="103">
        <f t="shared" si="23"/>
        <v>350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15895</v>
      </c>
      <c r="G22" s="106">
        <f t="shared" ref="G22:L22" si="25">U54</f>
        <v>335</v>
      </c>
      <c r="H22" s="106">
        <f t="shared" si="25"/>
        <v>915</v>
      </c>
      <c r="I22" s="106">
        <f t="shared" si="25"/>
        <v>280</v>
      </c>
      <c r="J22" s="106">
        <f t="shared" si="25"/>
        <v>40</v>
      </c>
      <c r="K22" s="106">
        <f t="shared" si="25"/>
        <v>805</v>
      </c>
      <c r="L22" s="106">
        <f t="shared" si="25"/>
        <v>1870</v>
      </c>
      <c r="M22" s="104">
        <f>SUM(F22:L22)</f>
        <v>20140</v>
      </c>
      <c r="S22" s="33" t="s">
        <v>12</v>
      </c>
      <c r="T22" s="96" t="s">
        <v>2238</v>
      </c>
      <c r="U22" s="96" t="s">
        <v>2243</v>
      </c>
      <c r="V22" s="96" t="s">
        <v>2248</v>
      </c>
      <c r="W22" s="96" t="s">
        <v>2253</v>
      </c>
      <c r="X22" s="96" t="s">
        <v>2258</v>
      </c>
      <c r="Y22" s="96" t="s">
        <v>2268</v>
      </c>
      <c r="Z22" s="96" t="s">
        <v>2263</v>
      </c>
      <c r="AA22" s="5"/>
      <c r="AB22" s="5"/>
      <c r="AC22" s="5"/>
      <c r="AD22" s="33" t="s">
        <v>12</v>
      </c>
      <c r="AE22" s="5">
        <f>V30</f>
        <v>505</v>
      </c>
      <c r="AF22" s="5">
        <f>U30</f>
        <v>45</v>
      </c>
      <c r="AG22" s="5">
        <f>'Cost Burden'!Z30</f>
        <v>360</v>
      </c>
      <c r="AH22" s="5">
        <f>SUM(W30:Y30)</f>
        <v>275</v>
      </c>
      <c r="AI22" s="5">
        <f>SUM(U30:Z30)</f>
        <v>1185</v>
      </c>
      <c r="AJ22" s="5">
        <f>T30</f>
        <v>11755</v>
      </c>
      <c r="AK22" s="5">
        <f>AA30</f>
        <v>12940</v>
      </c>
      <c r="AQ22" s="31"/>
      <c r="BC22" s="41"/>
    </row>
    <row r="23" spans="3:55" ht="14.25" customHeight="1" thickBot="1">
      <c r="C23" s="77"/>
      <c r="D23" s="77"/>
      <c r="E23" s="78" t="s">
        <v>2709</v>
      </c>
      <c r="F23" s="107">
        <f>SUM(F15,F22)</f>
        <v>30920</v>
      </c>
      <c r="G23" s="107">
        <f t="shared" ref="G23:M23" si="26">SUM(G15,G22)</f>
        <v>380</v>
      </c>
      <c r="H23" s="107">
        <f t="shared" si="26"/>
        <v>1620</v>
      </c>
      <c r="I23" s="107">
        <f t="shared" si="26"/>
        <v>430</v>
      </c>
      <c r="J23" s="107">
        <f t="shared" si="26"/>
        <v>70</v>
      </c>
      <c r="K23" s="107">
        <f t="shared" si="26"/>
        <v>1015</v>
      </c>
      <c r="L23" s="107">
        <f t="shared" si="26"/>
        <v>2425</v>
      </c>
      <c r="M23" s="107">
        <f t="shared" si="26"/>
        <v>36860</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80</v>
      </c>
      <c r="AF23" s="5">
        <f t="shared" ref="AF23:AF26" si="28">U31</f>
        <v>0</v>
      </c>
      <c r="AG23" s="5">
        <f>'Cost Burden'!Z31</f>
        <v>70</v>
      </c>
      <c r="AH23" s="5">
        <f t="shared" ref="AH23:AH26" si="29">SUM(W31:Y31)</f>
        <v>90</v>
      </c>
      <c r="AI23" s="5">
        <f t="shared" ref="AI23:AI26" si="30">SUM(U31:Z31)</f>
        <v>240</v>
      </c>
      <c r="AJ23" s="5">
        <f t="shared" ref="AJ23:AJ26" si="31">T31</f>
        <v>2000</v>
      </c>
      <c r="AK23" s="5">
        <f t="shared" ref="AK23:AK25" si="32">AA31</f>
        <v>2240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120</v>
      </c>
      <c r="AF24" s="5">
        <f t="shared" si="28"/>
        <v>0</v>
      </c>
      <c r="AG24" s="5">
        <f>'Cost Burden'!Z32</f>
        <v>105</v>
      </c>
      <c r="AH24" s="5">
        <f t="shared" si="29"/>
        <v>25</v>
      </c>
      <c r="AI24" s="5">
        <f t="shared" si="30"/>
        <v>250</v>
      </c>
      <c r="AJ24" s="5">
        <f t="shared" si="31"/>
        <v>1200</v>
      </c>
      <c r="AK24" s="5">
        <f t="shared" si="32"/>
        <v>1450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20</v>
      </c>
      <c r="AH25" s="5">
        <f t="shared" si="29"/>
        <v>0</v>
      </c>
      <c r="AI25" s="5">
        <f t="shared" si="30"/>
        <v>20</v>
      </c>
      <c r="AJ25" s="5">
        <f t="shared" si="31"/>
        <v>75</v>
      </c>
      <c r="AK25" s="5">
        <f t="shared" si="32"/>
        <v>95</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705</v>
      </c>
      <c r="AF26" s="37">
        <f t="shared" si="28"/>
        <v>45</v>
      </c>
      <c r="AG26" s="37">
        <f>'Cost Burden'!Z34</f>
        <v>555</v>
      </c>
      <c r="AH26" s="37">
        <f t="shared" si="29"/>
        <v>390</v>
      </c>
      <c r="AI26" s="37">
        <f t="shared" si="30"/>
        <v>1695</v>
      </c>
      <c r="AJ26" s="37">
        <f t="shared" si="31"/>
        <v>15025</v>
      </c>
      <c r="AK26" s="37">
        <f>SUM(AJ26,AE26:AH26)</f>
        <v>16720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Bellingham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11755</v>
      </c>
      <c r="U30" s="1">
        <v>45</v>
      </c>
      <c r="V30" s="1">
        <v>505</v>
      </c>
      <c r="W30" s="1">
        <v>115</v>
      </c>
      <c r="X30" s="1">
        <v>30</v>
      </c>
      <c r="Y30" s="1">
        <v>130</v>
      </c>
      <c r="Z30" s="1">
        <v>360</v>
      </c>
      <c r="AA30" s="5">
        <f>SUM(T30:Z30)</f>
        <v>12940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2000</v>
      </c>
      <c r="U31" s="1">
        <v>0</v>
      </c>
      <c r="V31" s="1">
        <v>80</v>
      </c>
      <c r="W31" s="1">
        <v>20</v>
      </c>
      <c r="X31" s="1">
        <v>0</v>
      </c>
      <c r="Y31" s="1">
        <v>70</v>
      </c>
      <c r="Z31" s="1">
        <v>70</v>
      </c>
      <c r="AA31" s="5">
        <f t="shared" ref="AA31:AA34" si="33">SUM(T31:Z31)</f>
        <v>2240</v>
      </c>
      <c r="AB31" s="5"/>
      <c r="AC31" s="5"/>
      <c r="AD31" s="5"/>
      <c r="AE31" s="314"/>
      <c r="AF31" s="313"/>
      <c r="AG31" s="315"/>
      <c r="AH31" s="314"/>
      <c r="AI31" s="324"/>
      <c r="AJ31" s="324"/>
      <c r="AK31" s="314"/>
    </row>
    <row r="32" spans="3:55" ht="14.25" customHeight="1">
      <c r="C32" s="5"/>
      <c r="S32" s="33" t="s">
        <v>1982</v>
      </c>
      <c r="T32" s="1">
        <v>1200</v>
      </c>
      <c r="U32" s="1">
        <v>0</v>
      </c>
      <c r="V32" s="1">
        <v>120</v>
      </c>
      <c r="W32" s="1">
        <v>15</v>
      </c>
      <c r="X32" s="1">
        <v>0</v>
      </c>
      <c r="Y32" s="1">
        <v>10</v>
      </c>
      <c r="Z32" s="1">
        <v>105</v>
      </c>
      <c r="AA32" s="5">
        <f t="shared" si="33"/>
        <v>1450</v>
      </c>
      <c r="AB32" s="5"/>
      <c r="AC32" s="5"/>
      <c r="AD32" s="5"/>
      <c r="AE32" s="314"/>
      <c r="AF32" s="313"/>
      <c r="AG32" s="315"/>
      <c r="AH32" s="314"/>
      <c r="AI32" s="324"/>
      <c r="AJ32" s="324"/>
      <c r="AK32" s="314"/>
    </row>
    <row r="33" spans="3:49">
      <c r="S33" s="33" t="s">
        <v>13</v>
      </c>
      <c r="T33" s="1">
        <v>75</v>
      </c>
      <c r="U33" s="1">
        <v>0</v>
      </c>
      <c r="V33" s="1">
        <v>0</v>
      </c>
      <c r="W33" s="1">
        <v>0</v>
      </c>
      <c r="X33" s="1">
        <v>0</v>
      </c>
      <c r="Y33" s="1">
        <v>0</v>
      </c>
      <c r="Z33" s="1">
        <v>20</v>
      </c>
      <c r="AA33" s="5">
        <f t="shared" si="33"/>
        <v>95</v>
      </c>
      <c r="AB33" s="5"/>
      <c r="AC33" s="5"/>
      <c r="AD33" s="33" t="s">
        <v>12</v>
      </c>
      <c r="AE33" s="5">
        <f>V50</f>
        <v>440</v>
      </c>
      <c r="AF33" s="5">
        <f>U50</f>
        <v>150</v>
      </c>
      <c r="AG33" s="5">
        <f>'Cost Burden'!Z50</f>
        <v>695</v>
      </c>
      <c r="AH33" s="5">
        <f>SUM(W50:Y50)</f>
        <v>275</v>
      </c>
      <c r="AI33" s="5">
        <f>SUM(U50:Z50)</f>
        <v>1560</v>
      </c>
      <c r="AJ33" s="5">
        <f>T50</f>
        <v>7415</v>
      </c>
      <c r="AK33" s="5">
        <f t="shared" ref="AK33" si="34">SUM(AJ33,AE33:AH33)</f>
        <v>8975</v>
      </c>
    </row>
    <row r="34" spans="3:49" ht="15">
      <c r="S34" s="33" t="s">
        <v>2</v>
      </c>
      <c r="T34" s="1">
        <v>15025</v>
      </c>
      <c r="U34" s="1">
        <v>45</v>
      </c>
      <c r="V34" s="1">
        <v>705</v>
      </c>
      <c r="W34" s="1">
        <v>150</v>
      </c>
      <c r="X34" s="1">
        <v>30</v>
      </c>
      <c r="Y34" s="1">
        <v>210</v>
      </c>
      <c r="Z34" s="1">
        <v>555</v>
      </c>
      <c r="AA34" s="37">
        <f t="shared" si="33"/>
        <v>16720</v>
      </c>
      <c r="AB34" s="5"/>
      <c r="AC34" s="5"/>
      <c r="AD34" s="33" t="s">
        <v>1981</v>
      </c>
      <c r="AE34" s="5">
        <f t="shared" ref="AE34:AE37" si="35">V51</f>
        <v>105</v>
      </c>
      <c r="AF34" s="5">
        <f t="shared" ref="AF34:AF37" si="36">U51</f>
        <v>40</v>
      </c>
      <c r="AG34" s="5">
        <f>'Cost Burden'!Z51</f>
        <v>530</v>
      </c>
      <c r="AH34" s="5">
        <f t="shared" ref="AH34:AH37" si="37">SUM(W51:Y51)</f>
        <v>410</v>
      </c>
      <c r="AI34" s="5">
        <f t="shared" ref="AI34:AI37" si="38">SUM(U51:Z51)</f>
        <v>1085</v>
      </c>
      <c r="AJ34" s="5">
        <f t="shared" ref="AJ34:AJ37" si="39">T51</f>
        <v>3565</v>
      </c>
      <c r="AK34" s="5">
        <f t="shared" ref="AK34:AK37" si="40">SUM(AJ34,AE34:AH34)</f>
        <v>4650</v>
      </c>
    </row>
    <row r="35" spans="3:49" ht="15">
      <c r="C35" s="39"/>
      <c r="AA35" s="5"/>
      <c r="AB35" s="5"/>
      <c r="AC35" s="5"/>
      <c r="AD35" s="33" t="s">
        <v>1982</v>
      </c>
      <c r="AE35" s="5">
        <f t="shared" si="35"/>
        <v>295</v>
      </c>
      <c r="AF35" s="5">
        <f t="shared" si="36"/>
        <v>145</v>
      </c>
      <c r="AG35" s="5">
        <f>'Cost Burden'!Z52</f>
        <v>550</v>
      </c>
      <c r="AH35" s="5">
        <f t="shared" si="37"/>
        <v>420</v>
      </c>
      <c r="AI35" s="5">
        <f t="shared" si="38"/>
        <v>1410</v>
      </c>
      <c r="AJ35" s="5">
        <f t="shared" si="39"/>
        <v>4765</v>
      </c>
      <c r="AK35" s="5">
        <f t="shared" si="40"/>
        <v>6175</v>
      </c>
    </row>
    <row r="36" spans="3:49">
      <c r="S36" s="114" t="s">
        <v>2364</v>
      </c>
      <c r="T36" s="114">
        <f>SUM(T31:T32)</f>
        <v>3200</v>
      </c>
      <c r="U36" s="114">
        <f t="shared" ref="U36:Z36" si="41">SUM(U31:U32)</f>
        <v>0</v>
      </c>
      <c r="V36" s="114">
        <f t="shared" si="41"/>
        <v>200</v>
      </c>
      <c r="W36" s="114">
        <f t="shared" si="41"/>
        <v>35</v>
      </c>
      <c r="X36" s="114">
        <f t="shared" si="41"/>
        <v>0</v>
      </c>
      <c r="Y36" s="114">
        <f t="shared" si="41"/>
        <v>80</v>
      </c>
      <c r="Z36" s="114">
        <f t="shared" si="41"/>
        <v>175</v>
      </c>
      <c r="AA36" s="5"/>
      <c r="AB36" s="5"/>
      <c r="AC36" s="5"/>
      <c r="AD36" s="33" t="s">
        <v>13</v>
      </c>
      <c r="AE36" s="5">
        <f t="shared" si="35"/>
        <v>75</v>
      </c>
      <c r="AF36" s="5">
        <f t="shared" si="36"/>
        <v>0</v>
      </c>
      <c r="AG36" s="5">
        <f>'Cost Burden'!Z53</f>
        <v>100</v>
      </c>
      <c r="AH36" s="5">
        <f t="shared" si="37"/>
        <v>20</v>
      </c>
      <c r="AI36" s="5">
        <f t="shared" si="38"/>
        <v>195</v>
      </c>
      <c r="AJ36" s="5">
        <f t="shared" si="39"/>
        <v>155</v>
      </c>
      <c r="AK36" s="5">
        <f t="shared" si="40"/>
        <v>350</v>
      </c>
    </row>
    <row r="37" spans="3:49" ht="15">
      <c r="S37" s="114"/>
      <c r="T37" s="57"/>
      <c r="U37" s="57"/>
      <c r="V37" s="57"/>
      <c r="W37" s="57"/>
      <c r="X37" s="57"/>
      <c r="Y37" s="57"/>
      <c r="Z37" s="57"/>
      <c r="AA37" s="5"/>
      <c r="AB37" s="5"/>
      <c r="AC37" s="5"/>
      <c r="AD37" s="34" t="s">
        <v>1</v>
      </c>
      <c r="AE37" s="37">
        <f t="shared" si="35"/>
        <v>915</v>
      </c>
      <c r="AF37" s="37">
        <f t="shared" si="36"/>
        <v>335</v>
      </c>
      <c r="AG37" s="37">
        <f>'Cost Burden'!Z54</f>
        <v>1870</v>
      </c>
      <c r="AH37" s="37">
        <f t="shared" si="37"/>
        <v>1125</v>
      </c>
      <c r="AI37" s="37">
        <f t="shared" si="38"/>
        <v>4245</v>
      </c>
      <c r="AJ37" s="37">
        <f t="shared" si="39"/>
        <v>15895</v>
      </c>
      <c r="AK37" s="37">
        <f t="shared" si="40"/>
        <v>20140</v>
      </c>
    </row>
    <row r="38" spans="3:49" ht="15">
      <c r="S38" s="54" t="s">
        <v>4</v>
      </c>
      <c r="T38" s="55"/>
      <c r="U38" s="55"/>
      <c r="V38" s="55"/>
      <c r="W38" s="55"/>
      <c r="X38" s="55"/>
      <c r="Y38" s="55"/>
      <c r="Z38" s="55"/>
      <c r="AA38" s="5"/>
      <c r="AB38" s="5"/>
      <c r="AC38" s="37"/>
    </row>
    <row r="39" spans="3:49">
      <c r="AD39" s="114" t="s">
        <v>2364</v>
      </c>
      <c r="AE39" s="114">
        <f>V56</f>
        <v>400</v>
      </c>
      <c r="AF39" s="114">
        <f>U56</f>
        <v>185</v>
      </c>
      <c r="AG39" s="114">
        <f>'Cost Burden'!Z56</f>
        <v>1080</v>
      </c>
      <c r="AH39" s="114">
        <f>SUM(W56:Y56)</f>
        <v>830</v>
      </c>
      <c r="AI39" s="114">
        <f>SUM(U56:Z56)</f>
        <v>2495</v>
      </c>
      <c r="AJ39" s="114">
        <f>T56</f>
        <v>8330</v>
      </c>
      <c r="AK39" s="114">
        <f>SUM(AJ39,AE39:AH39)</f>
        <v>10825</v>
      </c>
    </row>
    <row r="40" spans="3:49">
      <c r="T40" s="57" t="s">
        <v>2637</v>
      </c>
      <c r="U40" s="57" t="s">
        <v>2637</v>
      </c>
      <c r="V40" s="57" t="s">
        <v>2637</v>
      </c>
      <c r="W40" s="57" t="s">
        <v>2637</v>
      </c>
      <c r="X40" s="57" t="s">
        <v>2637</v>
      </c>
      <c r="Y40" s="57" t="s">
        <v>2637</v>
      </c>
      <c r="Z40" s="57" t="s">
        <v>2637</v>
      </c>
      <c r="AE40" s="6">
        <f>AJ39/AJ37</f>
        <v>0.52406417112299464</v>
      </c>
      <c r="AF40" s="6">
        <f>AI39/AI37</f>
        <v>0.58775029446407534</v>
      </c>
      <c r="AG40" s="6">
        <f>AE39/AE37</f>
        <v>0.43715846994535518</v>
      </c>
      <c r="AH40" s="6">
        <f>AF39/AF37</f>
        <v>0.55223880597014929</v>
      </c>
      <c r="AI40" s="6">
        <f>AH39/AH37</f>
        <v>0.73777777777777775</v>
      </c>
      <c r="AJ40" s="6">
        <f>AG39/AG37</f>
        <v>0.57754010695187163</v>
      </c>
      <c r="AK40" s="6">
        <f>AK39/AK37</f>
        <v>0.53748758689175768</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0.37037037037037041</v>
      </c>
      <c r="AF47" s="44">
        <f t="shared" ref="AF47:AK47" si="42">IFERROR(IF(SUM(AF51:AF52)&gt;0, SUM(AF51:AF52), "0"), "0")</f>
        <v>0.48684210526315791</v>
      </c>
      <c r="AG47" s="44">
        <f t="shared" si="42"/>
        <v>0.51646090534979416</v>
      </c>
      <c r="AH47" s="44">
        <f t="shared" si="42"/>
        <v>0.62376237623762376</v>
      </c>
      <c r="AJ47" s="44">
        <f t="shared" si="42"/>
        <v>0.50210260723296884</v>
      </c>
      <c r="AK47" s="44">
        <f t="shared" si="42"/>
        <v>0.37277723892660847</v>
      </c>
    </row>
    <row r="48" spans="3:49" ht="14.25" customHeight="1">
      <c r="AC48" s="31"/>
      <c r="AD48" s="31" t="s">
        <v>2365</v>
      </c>
      <c r="AE48" s="44">
        <f>1-AE47</f>
        <v>0.62962962962962954</v>
      </c>
      <c r="AF48" s="44">
        <f>1-AF47</f>
        <v>0.51315789473684204</v>
      </c>
      <c r="AG48" s="44">
        <f>1-AG47</f>
        <v>0.48353909465020584</v>
      </c>
      <c r="AH48" s="44">
        <f>1-AH47</f>
        <v>0.37623762376237624</v>
      </c>
      <c r="AJ48" s="44">
        <f>1-AJ47</f>
        <v>0.49789739276703116</v>
      </c>
      <c r="AK48" s="44">
        <f>1-AK47</f>
        <v>0.62722276107339159</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f>IF((AE13/AE14)=0, "",AE13/AE14)</f>
        <v>4.6296296296296294E-2</v>
      </c>
      <c r="AF49" s="44" t="str">
        <f t="shared" ref="AF49:AH49" si="43">IF((AF13/AF14)=0, "",AF13/AF14)</f>
        <v/>
      </c>
      <c r="AG49" s="44">
        <f t="shared" si="43"/>
        <v>4.9382716049382713E-2</v>
      </c>
      <c r="AH49" s="44">
        <f t="shared" si="43"/>
        <v>1.3201320132013201E-2</v>
      </c>
      <c r="AJ49" s="44">
        <f>IF((AI13/AI14)=0, "",(AI13/AI14))</f>
        <v>3.6164844407064758E-2</v>
      </c>
      <c r="AK49" s="44">
        <f>IF((AJ13/AJ14)=0, "",(AJ13/AJ14))</f>
        <v>7.4361461364371162E-3</v>
      </c>
      <c r="AL49" s="31"/>
      <c r="AM49" s="31"/>
      <c r="AN49" s="31"/>
    </row>
    <row r="50" spans="3:48" ht="15">
      <c r="C50" s="323" t="s">
        <v>2711</v>
      </c>
      <c r="D50" s="323"/>
      <c r="E50" s="323"/>
      <c r="F50" s="323"/>
      <c r="G50" s="323"/>
      <c r="H50" s="323"/>
      <c r="I50" s="323"/>
      <c r="J50" s="323"/>
      <c r="K50" s="323"/>
      <c r="S50" s="33" t="s">
        <v>12</v>
      </c>
      <c r="T50" s="1">
        <v>7415</v>
      </c>
      <c r="U50" s="1">
        <v>150</v>
      </c>
      <c r="V50" s="1">
        <v>440</v>
      </c>
      <c r="W50" s="1">
        <v>100</v>
      </c>
      <c r="X50" s="1">
        <v>0</v>
      </c>
      <c r="Y50" s="1">
        <v>175</v>
      </c>
      <c r="Z50" s="1">
        <v>695</v>
      </c>
      <c r="AA50" s="5">
        <f>SUM(T50:Z50)</f>
        <v>8975</v>
      </c>
      <c r="AB50" s="56"/>
      <c r="AC50" s="31"/>
      <c r="AD50" s="31" t="s">
        <v>12</v>
      </c>
      <c r="AE50" s="44">
        <f>AE10/AE14</f>
        <v>0.58333333333333337</v>
      </c>
      <c r="AF50" s="44">
        <f t="shared" ref="AF50:AH50" si="44">AF10/AF14</f>
        <v>0.51315789473684215</v>
      </c>
      <c r="AG50" s="44">
        <f t="shared" si="44"/>
        <v>0.43415637860082307</v>
      </c>
      <c r="AH50" s="44">
        <f t="shared" si="44"/>
        <v>0.36303630363036304</v>
      </c>
      <c r="AJ50" s="44">
        <f>AI10/AI14</f>
        <v>0.46173254835996635</v>
      </c>
      <c r="AK50" s="44">
        <f>AJ10/AJ14</f>
        <v>0.61978661493695442</v>
      </c>
      <c r="AL50" s="31"/>
      <c r="AM50" s="31"/>
      <c r="AN50" s="31"/>
      <c r="AO50" s="31"/>
    </row>
    <row r="51" spans="3:48" ht="14.25" customHeight="1">
      <c r="C51" s="323"/>
      <c r="D51" s="323"/>
      <c r="E51" s="323"/>
      <c r="F51" s="323"/>
      <c r="G51" s="323"/>
      <c r="H51" s="323"/>
      <c r="I51" s="323"/>
      <c r="J51" s="323"/>
      <c r="K51" s="323"/>
      <c r="S51" s="33" t="s">
        <v>1981</v>
      </c>
      <c r="T51" s="1">
        <v>3565</v>
      </c>
      <c r="U51" s="1">
        <v>40</v>
      </c>
      <c r="V51" s="1">
        <v>105</v>
      </c>
      <c r="W51" s="1">
        <v>95</v>
      </c>
      <c r="X51" s="1">
        <v>15</v>
      </c>
      <c r="Y51" s="1">
        <v>300</v>
      </c>
      <c r="Z51" s="1">
        <v>530</v>
      </c>
      <c r="AA51" s="5">
        <f t="shared" ref="AA51:AA54" si="45">SUM(T51:Z51)</f>
        <v>4650</v>
      </c>
      <c r="AB51" s="56"/>
      <c r="AD51" s="31" t="s">
        <v>1981</v>
      </c>
      <c r="AE51" s="44">
        <f>AE11/AE14</f>
        <v>0.11419753086419752</v>
      </c>
      <c r="AF51" s="44">
        <f t="shared" ref="AF51:AH51" si="46">AF11/AF14</f>
        <v>0.10526315789473684</v>
      </c>
      <c r="AG51" s="44">
        <f t="shared" si="46"/>
        <v>0.24691358024691357</v>
      </c>
      <c r="AH51" s="44">
        <f t="shared" si="46"/>
        <v>0.33003300330033003</v>
      </c>
      <c r="AJ51" s="44">
        <f>AI11/AI14</f>
        <v>0.22287636669470143</v>
      </c>
      <c r="AK51" s="44">
        <f>AJ11/AJ14</f>
        <v>0.17992240543161978</v>
      </c>
      <c r="AL51" s="31"/>
      <c r="AM51" s="31"/>
      <c r="AN51" s="31"/>
      <c r="AO51" s="31"/>
    </row>
    <row r="52" spans="3:48">
      <c r="S52" s="33" t="s">
        <v>1982</v>
      </c>
      <c r="T52" s="1">
        <v>4765</v>
      </c>
      <c r="U52" s="1">
        <v>145</v>
      </c>
      <c r="V52" s="1">
        <v>295</v>
      </c>
      <c r="W52" s="1">
        <v>85</v>
      </c>
      <c r="X52" s="1">
        <v>30</v>
      </c>
      <c r="Y52" s="1">
        <v>305</v>
      </c>
      <c r="Z52" s="1">
        <v>550</v>
      </c>
      <c r="AA52" s="5">
        <f t="shared" si="45"/>
        <v>6175</v>
      </c>
      <c r="AD52" s="31" t="s">
        <v>1982</v>
      </c>
      <c r="AE52" s="44">
        <f>AE12/AE14</f>
        <v>0.25617283950617287</v>
      </c>
      <c r="AF52" s="44">
        <f t="shared" ref="AF52:AH52" si="47">AF12/AF14</f>
        <v>0.38157894736842107</v>
      </c>
      <c r="AG52" s="44">
        <f t="shared" si="47"/>
        <v>0.26954732510288065</v>
      </c>
      <c r="AH52" s="44">
        <f t="shared" si="47"/>
        <v>0.29372937293729373</v>
      </c>
      <c r="AJ52" s="44">
        <f>AI12/AI14</f>
        <v>0.27922624053826745</v>
      </c>
      <c r="AK52" s="44">
        <f>AJ12/AJ14</f>
        <v>0.19285483349498869</v>
      </c>
      <c r="AL52" s="31"/>
      <c r="AM52" s="31"/>
      <c r="AN52" s="31"/>
      <c r="AO52" s="31"/>
    </row>
    <row r="53" spans="3:48" ht="18" customHeight="1">
      <c r="C53" s="301" t="str">
        <f>"Chart 4a. "&amp;City_label&amp;" total housing cost burden by racial and ethnic group, 2019"</f>
        <v>Chart 4a. Bellingham total housing cost burden by racial and ethnic group, 2019</v>
      </c>
      <c r="D53" s="301"/>
      <c r="E53" s="301"/>
      <c r="F53" s="301"/>
      <c r="G53" s="301"/>
      <c r="H53" s="301"/>
      <c r="I53" s="301"/>
      <c r="J53" s="301"/>
      <c r="K53" s="301"/>
      <c r="L53" s="301"/>
      <c r="M53" s="301"/>
      <c r="S53" s="33" t="s">
        <v>13</v>
      </c>
      <c r="T53" s="1">
        <v>155</v>
      </c>
      <c r="U53" s="1">
        <v>0</v>
      </c>
      <c r="V53" s="1">
        <v>75</v>
      </c>
      <c r="W53" s="1">
        <v>0</v>
      </c>
      <c r="X53" s="1">
        <v>0</v>
      </c>
      <c r="Y53" s="1">
        <v>20</v>
      </c>
      <c r="Z53" s="1">
        <v>100</v>
      </c>
      <c r="AA53" s="5">
        <f t="shared" si="45"/>
        <v>350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15895</v>
      </c>
      <c r="U54" s="1">
        <v>335</v>
      </c>
      <c r="V54" s="1">
        <v>915</v>
      </c>
      <c r="W54" s="1">
        <v>280</v>
      </c>
      <c r="X54" s="1">
        <v>40</v>
      </c>
      <c r="Y54" s="1">
        <v>805</v>
      </c>
      <c r="Z54" s="1">
        <v>1870</v>
      </c>
      <c r="AA54" s="37">
        <f t="shared" si="45"/>
        <v>20140</v>
      </c>
      <c r="AD54" s="59" t="s">
        <v>2695</v>
      </c>
      <c r="AE54" s="31" t="str">
        <f>"Total Cost Burdened: "&amp;TEXT(AE47,"0%")</f>
        <v>Total Cost Burdened: 37%</v>
      </c>
      <c r="AF54" s="31" t="str">
        <f>"Total Cost Burdened: "&amp;TEXT(AF47,"0%")</f>
        <v>Total Cost Burdened: 49%</v>
      </c>
      <c r="AG54" s="31" t="str">
        <f>"Total Cost Burdened: "&amp;TEXT(AG47,"0%")</f>
        <v>Total Cost Burdened: 52%</v>
      </c>
      <c r="AH54" s="31" t="str">
        <f>"Total Cost Burdened: "&amp;TEXT(AH47,"0%")</f>
        <v>Total Cost Burdened: 62%</v>
      </c>
      <c r="AJ54" s="31" t="str">
        <f>"Total Cost Burdened: "&amp;TEXT(AJ47,"0%")</f>
        <v>Total Cost Burdened: 50%</v>
      </c>
      <c r="AK54" s="31" t="str">
        <f>"Total Cost Burdened: "&amp;TEXT(AK47,"0%")</f>
        <v>Total Cost Burdened: 37%</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8330</v>
      </c>
      <c r="U56" s="57">
        <f t="shared" si="48"/>
        <v>185</v>
      </c>
      <c r="V56" s="57">
        <f t="shared" si="48"/>
        <v>400</v>
      </c>
      <c r="W56" s="57">
        <f t="shared" si="48"/>
        <v>180</v>
      </c>
      <c r="X56" s="57">
        <f t="shared" si="48"/>
        <v>45</v>
      </c>
      <c r="Y56" s="57">
        <f t="shared" si="48"/>
        <v>605</v>
      </c>
      <c r="Z56" s="57">
        <f t="shared" si="48"/>
        <v>1080</v>
      </c>
      <c r="AD56" s="31" t="s">
        <v>2364</v>
      </c>
      <c r="AE56" s="268">
        <f>IFERROR(IF(SUM(AE60:AE61)&gt;0, SUM(AE60:AE61), "0%"), "0%")</f>
        <v>0.28368794326241131</v>
      </c>
      <c r="AF56" s="268" t="str">
        <f t="shared" ref="AF56:AH56" si="49">IFERROR(IF(SUM(AF60:AF61)&gt;0, SUM(AF60:AF61), "0%"), "0%")</f>
        <v>0%</v>
      </c>
      <c r="AG56" s="268">
        <f t="shared" si="49"/>
        <v>0.31531531531531531</v>
      </c>
      <c r="AH56" s="268">
        <f t="shared" si="49"/>
        <v>0.29487179487179488</v>
      </c>
      <c r="AI56" s="44"/>
      <c r="AJ56" s="44">
        <f t="shared" ref="AJ56:AK56" si="50">IFERROR(IF(SUM(AJ60:AJ61)&gt;0, SUM(AJ60:AJ61), "0"), "0")</f>
        <v>0.28908554572271383</v>
      </c>
      <c r="AK56" s="44">
        <f t="shared" si="50"/>
        <v>0.21297836938435938</v>
      </c>
      <c r="AL56" s="31"/>
      <c r="AM56" s="31"/>
      <c r="AN56" s="31"/>
      <c r="AO56" s="31"/>
    </row>
    <row r="57" spans="3:48" ht="14.25" customHeight="1">
      <c r="AD57" s="31" t="s">
        <v>2365</v>
      </c>
      <c r="AE57" s="44">
        <f>1-AE56</f>
        <v>0.71631205673758869</v>
      </c>
      <c r="AF57" s="44">
        <f>1-AF56</f>
        <v>1</v>
      </c>
      <c r="AG57" s="44">
        <f>1-AG56</f>
        <v>0.68468468468468469</v>
      </c>
      <c r="AH57" s="44">
        <f>1-AH56</f>
        <v>0.70512820512820507</v>
      </c>
      <c r="AJ57" s="44">
        <f>1-AJ56</f>
        <v>0.71091445427728617</v>
      </c>
      <c r="AK57" s="44">
        <f>1-AK56</f>
        <v>0.78702163061564057</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f t="shared" si="51"/>
        <v>3.6036036036036036E-2</v>
      </c>
      <c r="AH58" s="44" t="str">
        <f t="shared" si="51"/>
        <v/>
      </c>
      <c r="AJ58" s="44">
        <f>IF((AI25/AI26)&gt;0,(AI25/AI26),"")</f>
        <v>1.1799410029498525E-2</v>
      </c>
      <c r="AK58" s="44">
        <f>IF((AJ25/AJ26)&gt;0,(AJ25/AJ26),"")</f>
        <v>4.9916805324459234E-3</v>
      </c>
      <c r="AL58" s="31"/>
      <c r="AM58" s="31"/>
      <c r="AN58" s="31"/>
      <c r="AO58" s="31"/>
      <c r="AR58" s="31"/>
      <c r="AS58" s="31"/>
      <c r="AT58" s="31"/>
      <c r="AU58" s="31"/>
      <c r="AV58" s="31"/>
    </row>
    <row r="59" spans="3:48">
      <c r="AD59" s="31" t="s">
        <v>12</v>
      </c>
      <c r="AE59" s="44">
        <f>AE22/AE26</f>
        <v>0.71631205673758869</v>
      </c>
      <c r="AF59" s="44">
        <f t="shared" ref="AF59:AH59" si="52">AF22/AF26</f>
        <v>1</v>
      </c>
      <c r="AG59" s="44">
        <f t="shared" si="52"/>
        <v>0.64864864864864868</v>
      </c>
      <c r="AH59" s="44">
        <f t="shared" si="52"/>
        <v>0.70512820512820518</v>
      </c>
      <c r="AJ59" s="44">
        <f>AI22/AI26</f>
        <v>0.69911504424778759</v>
      </c>
      <c r="AK59" s="44">
        <f>AJ22/AJ26</f>
        <v>0.78236272878535773</v>
      </c>
      <c r="AL59" s="31"/>
      <c r="AM59" s="31"/>
      <c r="AN59" s="31"/>
      <c r="AO59" s="31"/>
      <c r="AQ59" s="31"/>
      <c r="AR59" s="31"/>
      <c r="AS59" s="31"/>
      <c r="AT59" s="31"/>
      <c r="AU59" s="31"/>
      <c r="AV59" s="31"/>
    </row>
    <row r="60" spans="3:48">
      <c r="AD60" s="31" t="s">
        <v>1981</v>
      </c>
      <c r="AE60" s="44">
        <f>AE23/AE26</f>
        <v>0.11347517730496454</v>
      </c>
      <c r="AF60" s="44">
        <f t="shared" ref="AF60:AH60" si="53">AF23/AF26</f>
        <v>0</v>
      </c>
      <c r="AG60" s="44">
        <f t="shared" si="53"/>
        <v>0.12612612612612611</v>
      </c>
      <c r="AH60" s="44">
        <f t="shared" si="53"/>
        <v>0.23076923076923078</v>
      </c>
      <c r="AJ60" s="44">
        <f>AI23/AI26</f>
        <v>0.1415929203539823</v>
      </c>
      <c r="AK60" s="44">
        <f>AJ23/AJ26</f>
        <v>0.13311148086522462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0.1702127659574468</v>
      </c>
      <c r="AF61" s="44">
        <f t="shared" ref="AF61:AH61" si="54">AF24/AF26</f>
        <v>0</v>
      </c>
      <c r="AG61" s="44">
        <f t="shared" si="54"/>
        <v>0.1891891891891892</v>
      </c>
      <c r="AH61" s="44">
        <f t="shared" si="54"/>
        <v>6.4102564102564097E-2</v>
      </c>
      <c r="AJ61" s="44">
        <f>AI24/AI26</f>
        <v>0.14749262536873156</v>
      </c>
      <c r="AK61" s="44">
        <f>AJ24/AJ26</f>
        <v>7.9866888519134774E-2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28%</v>
      </c>
      <c r="AF63" s="31" t="str">
        <f>"Total Cost Burdened: "&amp;TEXT(AF56,"0%")</f>
        <v>Total Cost Burdened: 0%</v>
      </c>
      <c r="AG63" s="31" t="str">
        <f>"Total Cost Burdened: "&amp;TEXT(AG56,"0%")</f>
        <v>Total Cost Burdened: 32%</v>
      </c>
      <c r="AH63" s="31" t="str">
        <f>"Total Cost Burdened: "&amp;TEXT(AH56,"0%")</f>
        <v>Total Cost Burdened: 29%</v>
      </c>
      <c r="AJ63" s="31" t="str">
        <f>"Total Cost Burdened: "&amp;TEXT(AJ56,"0%")</f>
        <v>Total Cost Burdened: 29%</v>
      </c>
      <c r="AK63" s="31" t="str">
        <f>"Total Cost Burdened: "&amp;TEXT(AK56,"0%")</f>
        <v>Total Cost Burdened: 21%</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f>IFERROR(IF(SUM(AE69:AE70)&gt;0, SUM(AE69:AE70), "0%"), "0%")</f>
        <v>0.43715846994535523</v>
      </c>
      <c r="AF65" s="268">
        <f t="shared" ref="AF65:AH65" si="55">IFERROR(IF(SUM(AF69:AF70)&gt;0, SUM(AF69:AF70), "0%"), "0%")</f>
        <v>0.55223880597014918</v>
      </c>
      <c r="AG65" s="268">
        <f t="shared" si="55"/>
        <v>0.57754010695187175</v>
      </c>
      <c r="AH65" s="268">
        <f t="shared" si="55"/>
        <v>0.73777777777777787</v>
      </c>
      <c r="AJ65" s="44">
        <f t="shared" ref="AJ65:AK65" si="56">IFERROR(IF(SUM(AJ69:AJ70)&gt;0, SUM(AJ69:AJ70), "0"), "0")</f>
        <v>0.58775029446407534</v>
      </c>
      <c r="AK65" s="44">
        <f t="shared" si="56"/>
        <v>0.52406417112299464</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0.56284153005464477</v>
      </c>
      <c r="AF66" s="44">
        <f>1-AF65</f>
        <v>0.44776119402985082</v>
      </c>
      <c r="AG66" s="44">
        <f>1-AG65</f>
        <v>0.42245989304812825</v>
      </c>
      <c r="AH66" s="44">
        <f>1-AH65</f>
        <v>0.26222222222222213</v>
      </c>
      <c r="AJ66" s="44">
        <f>1-AJ65</f>
        <v>0.41224970553592466</v>
      </c>
      <c r="AK66" s="44">
        <f>1-AK65</f>
        <v>0.47593582887700536</v>
      </c>
      <c r="AL66" s="31"/>
      <c r="AM66" s="31"/>
      <c r="AN66" s="31"/>
      <c r="AO66" s="31"/>
      <c r="AP66" s="31"/>
      <c r="AQ66" s="31"/>
      <c r="AR66" s="31"/>
    </row>
    <row r="67" spans="3:48">
      <c r="T67" t="s">
        <v>2637</v>
      </c>
      <c r="U67" t="s">
        <v>2637</v>
      </c>
      <c r="V67" t="s">
        <v>2637</v>
      </c>
      <c r="W67" t="s">
        <v>2637</v>
      </c>
      <c r="X67" t="s">
        <v>2637</v>
      </c>
      <c r="Y67" t="s">
        <v>2637</v>
      </c>
      <c r="Z67" t="s">
        <v>2637</v>
      </c>
      <c r="AD67" s="31" t="s">
        <v>13</v>
      </c>
      <c r="AE67" s="44">
        <f>IF((AE36/AE37)&gt;0,AE36/AE37,"")</f>
        <v>8.1967213114754092E-2</v>
      </c>
      <c r="AF67" s="44" t="str">
        <f t="shared" ref="AF67:AH67" si="57">IF((AF36/AF37)&gt;0,AF36/AF37,"")</f>
        <v/>
      </c>
      <c r="AG67" s="44">
        <f t="shared" si="57"/>
        <v>5.3475935828877004E-2</v>
      </c>
      <c r="AH67" s="44">
        <f t="shared" si="57"/>
        <v>1.7777777777777778E-2</v>
      </c>
      <c r="AJ67" s="44">
        <f>IF((AI36/AI37)&gt;0,AI36/AI37,"")</f>
        <v>4.5936395759717315E-2</v>
      </c>
      <c r="AK67" s="44">
        <f>IF((AJ36/AJ37)&gt;0,AJ36/AJ37,"")</f>
        <v>9.7514941805599241E-3</v>
      </c>
      <c r="AL67" s="31"/>
      <c r="AM67" s="31"/>
      <c r="AN67" s="31"/>
      <c r="AO67" s="31"/>
      <c r="AP67" s="31"/>
      <c r="AQ67" s="31"/>
    </row>
    <row r="68" spans="3:48">
      <c r="T68" t="s">
        <v>2735</v>
      </c>
      <c r="U68" t="s">
        <v>2666</v>
      </c>
      <c r="V68" t="s">
        <v>2719</v>
      </c>
      <c r="W68" t="s">
        <v>2790</v>
      </c>
      <c r="X68" t="s">
        <v>2723</v>
      </c>
      <c r="Y68" t="s">
        <v>2721</v>
      </c>
      <c r="Z68" t="s">
        <v>2672</v>
      </c>
      <c r="AD68" s="31" t="s">
        <v>12</v>
      </c>
      <c r="AE68" s="44">
        <f>AE33/AE37</f>
        <v>0.48087431693989069</v>
      </c>
      <c r="AF68" s="44">
        <f t="shared" ref="AF68:AH68" si="58">AF33/AF37</f>
        <v>0.44776119402985076</v>
      </c>
      <c r="AG68" s="44">
        <f t="shared" si="58"/>
        <v>0.37165775401069517</v>
      </c>
      <c r="AH68" s="44">
        <f t="shared" si="58"/>
        <v>0.24444444444444444</v>
      </c>
      <c r="AJ68" s="44">
        <f>AI33/AI37</f>
        <v>0.36749116607773852</v>
      </c>
      <c r="AK68" s="44">
        <f>AJ33/AJ37</f>
        <v>0.46649889902485059</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0.11475409836065574</v>
      </c>
      <c r="AF69" s="44">
        <f t="shared" ref="AF69:AH69" si="59">AF34/AF37</f>
        <v>0.11940298507462686</v>
      </c>
      <c r="AG69" s="44">
        <f t="shared" si="59"/>
        <v>0.28342245989304815</v>
      </c>
      <c r="AH69" s="44">
        <f t="shared" si="59"/>
        <v>0.36444444444444446</v>
      </c>
      <c r="AJ69" s="44">
        <f>AI34/AI37</f>
        <v>0.25559481743227325</v>
      </c>
      <c r="AK69" s="44">
        <f>AJ34/AJ37</f>
        <v>0.22428436615287825</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0.32240437158469948</v>
      </c>
      <c r="AF70" s="44">
        <f t="shared" ref="AF70:AH70" si="60">AF35/AF37</f>
        <v>0.43283582089552236</v>
      </c>
      <c r="AG70" s="44">
        <f t="shared" si="60"/>
        <v>0.29411764705882354</v>
      </c>
      <c r="AH70" s="44">
        <f t="shared" si="60"/>
        <v>0.37333333333333335</v>
      </c>
      <c r="AJ70" s="44">
        <f>AI35/AI37</f>
        <v>0.33215547703180209</v>
      </c>
      <c r="AK70" s="44">
        <f>AJ35/AJ37</f>
        <v>0.29977980497011641</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52%</v>
      </c>
      <c r="AF72" s="31" t="str">
        <f>"Total Cost Burdened: "&amp;TEXT(AJ65,"0%")</f>
        <v>Total Cost Burdened: 59%</v>
      </c>
      <c r="AG72" s="31" t="str">
        <f>"Total Cost Burdened: "&amp;TEXT(AE65,"0%")</f>
        <v>Total Cost Burdened: 44%</v>
      </c>
      <c r="AH72" s="31" t="str">
        <f>"Total Cost Burdened: "&amp;TEXT(AF65,"0%")</f>
        <v>Total Cost Burdened: 55%</v>
      </c>
      <c r="AI72" s="31" t="str">
        <f>"Total Cost Burdened: "&amp;TEXT(AH65,"0%")</f>
        <v>Total Cost Burdened: 74%</v>
      </c>
      <c r="AJ72" s="31" t="str">
        <f>"Total Cost Burdened: "&amp;TEXT(AG65,"0%")</f>
        <v>Total Cost Burdened: 58%</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Bellingham number of owner households by race and cost burden, 2019</v>
      </c>
      <c r="D76" s="301"/>
      <c r="E76" s="301"/>
      <c r="F76" s="301"/>
      <c r="G76" s="301"/>
      <c r="H76" s="301"/>
      <c r="I76" s="301"/>
      <c r="J76" s="301"/>
      <c r="K76" s="301"/>
      <c r="L76" s="301"/>
      <c r="M76" s="301"/>
      <c r="S76" s="33" t="s">
        <v>12</v>
      </c>
      <c r="T76" s="1">
        <v>79</v>
      </c>
      <c r="U76" s="1">
        <v>175</v>
      </c>
      <c r="V76" s="1">
        <v>49</v>
      </c>
      <c r="W76" s="1">
        <v>109</v>
      </c>
      <c r="X76" s="1">
        <v>66</v>
      </c>
      <c r="Y76" s="1">
        <v>30</v>
      </c>
      <c r="Z76" s="1">
        <v>497</v>
      </c>
    </row>
    <row r="77" spans="3:48">
      <c r="C77" s="301"/>
      <c r="D77" s="301"/>
      <c r="E77" s="301"/>
      <c r="F77" s="301"/>
      <c r="G77" s="301"/>
      <c r="H77" s="301"/>
      <c r="I77" s="301"/>
      <c r="J77" s="301"/>
      <c r="K77" s="301"/>
      <c r="L77" s="301"/>
      <c r="M77" s="301"/>
      <c r="S77" s="33" t="s">
        <v>1981</v>
      </c>
      <c r="T77" s="1">
        <v>32</v>
      </c>
      <c r="U77" s="1">
        <v>62</v>
      </c>
      <c r="V77" s="1">
        <v>29</v>
      </c>
      <c r="W77" s="1">
        <v>60</v>
      </c>
      <c r="X77" s="1">
        <v>47</v>
      </c>
      <c r="Y77" s="1">
        <v>29</v>
      </c>
      <c r="Z77" s="1">
        <v>314</v>
      </c>
    </row>
    <row r="78" spans="3:48">
      <c r="S78" s="33" t="s">
        <v>1982</v>
      </c>
      <c r="T78" s="1">
        <v>23</v>
      </c>
      <c r="U78" s="1">
        <v>73</v>
      </c>
      <c r="V78" s="1">
        <v>29</v>
      </c>
      <c r="W78" s="1">
        <v>109</v>
      </c>
      <c r="X78" s="1">
        <v>16</v>
      </c>
      <c r="Y78" s="1">
        <v>29</v>
      </c>
      <c r="Z78" s="1">
        <v>229</v>
      </c>
    </row>
    <row r="79" spans="3:48">
      <c r="S79" s="33" t="s">
        <v>13</v>
      </c>
      <c r="T79" s="1">
        <v>29</v>
      </c>
      <c r="U79" s="1">
        <v>29</v>
      </c>
      <c r="V79" s="1">
        <v>29</v>
      </c>
      <c r="W79" s="1">
        <v>33</v>
      </c>
      <c r="X79" s="1">
        <v>29</v>
      </c>
      <c r="Y79" s="1">
        <v>29</v>
      </c>
      <c r="Z79" s="1">
        <v>57</v>
      </c>
    </row>
    <row r="80" spans="3:48" ht="15">
      <c r="S80" s="33" t="s">
        <v>1</v>
      </c>
      <c r="T80" s="37">
        <f t="shared" ref="T80:Z80" si="61">SUM(T76:T79)</f>
        <v>163</v>
      </c>
      <c r="U80" s="37">
        <f t="shared" si="61"/>
        <v>339</v>
      </c>
      <c r="V80" s="37">
        <f t="shared" si="61"/>
        <v>136</v>
      </c>
      <c r="W80" s="37">
        <f t="shared" si="61"/>
        <v>311</v>
      </c>
      <c r="X80" s="37">
        <f t="shared" si="61"/>
        <v>158</v>
      </c>
      <c r="Y80" s="37">
        <f t="shared" si="61"/>
        <v>117</v>
      </c>
      <c r="Z80" s="37">
        <f t="shared" si="61"/>
        <v>1097</v>
      </c>
    </row>
    <row r="82" spans="19:26" ht="15">
      <c r="S82" s="5"/>
      <c r="T82" s="34" t="s">
        <v>2720</v>
      </c>
      <c r="U82" s="34" t="s">
        <v>2666</v>
      </c>
      <c r="V82" s="34" t="s">
        <v>2673</v>
      </c>
      <c r="W82" s="34" t="s">
        <v>2790</v>
      </c>
      <c r="X82" s="34" t="s">
        <v>2706</v>
      </c>
      <c r="Y82" s="34" t="s">
        <v>2721</v>
      </c>
      <c r="Z82" s="34" t="s">
        <v>2672</v>
      </c>
    </row>
    <row r="83" spans="19:26">
      <c r="S83" s="33" t="s">
        <v>12</v>
      </c>
      <c r="T83" s="6">
        <f>IFERROR((((T76/1.645)/W30)),0)</f>
        <v>0.41760274877758691</v>
      </c>
      <c r="U83" s="6">
        <f>IFERROR((((U76/1.645)/V30)),0)</f>
        <v>0.2106593638087213</v>
      </c>
      <c r="V83" s="6">
        <f>IFERROR((((V76/1.645)/U30)),0)</f>
        <v>0.66193853427895977</v>
      </c>
      <c r="W83" s="6">
        <f>IFERROR((((W76/1.645)/Z30)),0)</f>
        <v>0.18405943937858832</v>
      </c>
      <c r="X83" s="6">
        <f>IFERROR((((X76/1.645)/Y30)),0)</f>
        <v>0.30862754267009584</v>
      </c>
      <c r="Y83" s="6">
        <f>IFERROR((((Y76/1.645)/X30)),0)</f>
        <v>0.60790273556231011</v>
      </c>
      <c r="Z83" s="6">
        <f>IFERROR((((Z76/1.645)/T30)),0)</f>
        <v>2.5702055259418804E-2</v>
      </c>
    </row>
    <row r="84" spans="19:26">
      <c r="S84" s="33" t="s">
        <v>1981</v>
      </c>
      <c r="T84" s="6">
        <f>IFERROR((((T77/1.645)/W31)),0)</f>
        <v>0.97264437689969596</v>
      </c>
      <c r="U84" s="6">
        <f>IFERROR((((U77/1.645)/V31)),0)</f>
        <v>0.47112462006079026</v>
      </c>
      <c r="V84" s="6">
        <f>IFERROR((((V77/1.645)/U31)),0)</f>
        <v>0</v>
      </c>
      <c r="W84" s="6">
        <f>IFERROR((((W77/1.645)/Z31)),0)</f>
        <v>0.52105948762483723</v>
      </c>
      <c r="X84" s="6">
        <f>IFERROR((((X77/1.645)/Y31)),0)</f>
        <v>0.4081632653061224</v>
      </c>
      <c r="Y84" s="6">
        <f>IFERROR((((Y77/1.645)/X31)),0)</f>
        <v>0</v>
      </c>
      <c r="Z84" s="6">
        <f>IFERROR((((Z77/1.645)/T31)),0)</f>
        <v>9.544072948328268E-2</v>
      </c>
    </row>
    <row r="85" spans="19:26">
      <c r="S85" s="33" t="s">
        <v>1982</v>
      </c>
      <c r="T85" s="6">
        <f>IFERROR((((T78/1.645)/W32)),0)</f>
        <v>0.93211752786220869</v>
      </c>
      <c r="U85" s="6">
        <f>IFERROR((((U78/1.645)/V32)),0)</f>
        <v>0.36980749746707192</v>
      </c>
      <c r="V85" s="6">
        <f>IFERROR((((V78/1.645)/U32)),0)</f>
        <v>0</v>
      </c>
      <c r="W85" s="6">
        <f>IFERROR((((W78/1.645)/Z32)),0)</f>
        <v>0.63106093501230276</v>
      </c>
      <c r="X85" s="6">
        <f>IFERROR((((X78/1.645)/Y32)),0)</f>
        <v>0.97264437689969596</v>
      </c>
      <c r="Y85" s="6">
        <f>IFERROR((((Y78/1.645)/X32)),0)</f>
        <v>0</v>
      </c>
      <c r="Z85" s="6">
        <f>IFERROR((((Z78/1.645)/T32)),0)</f>
        <v>0.1160081053698075</v>
      </c>
    </row>
    <row r="86" spans="19:26">
      <c r="S86" s="33" t="s">
        <v>13</v>
      </c>
      <c r="T86" s="6">
        <f>IFERROR((((T79/1.645)/W33)),0)</f>
        <v>0</v>
      </c>
      <c r="U86" s="6">
        <f>IFERROR((((U79/1.645)/V33)),0)</f>
        <v>0</v>
      </c>
      <c r="V86" s="6">
        <f>IFERROR((((V79/1.645)/U33)),0)</f>
        <v>0</v>
      </c>
      <c r="W86" s="6">
        <f>IFERROR((((W79/1.645)/Z33)),0)</f>
        <v>1.0030395136778114</v>
      </c>
      <c r="X86" s="6">
        <f>IFERROR((((X79/1.645)/Y33)),0)</f>
        <v>0</v>
      </c>
      <c r="Y86" s="6">
        <f>IFERROR((((Y79/1.645)/X33)),0)</f>
        <v>0</v>
      </c>
      <c r="Z86" s="6">
        <f>IFERROR((((Z79/1.645)/T33)),0)</f>
        <v>0.46200607902735563</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Bellingham number of owner households by race and cost burden, 2019</v>
      </c>
      <c r="D100" s="301"/>
      <c r="E100" s="301"/>
      <c r="F100" s="301"/>
      <c r="G100" s="301"/>
      <c r="H100" s="301"/>
      <c r="I100" s="301"/>
      <c r="J100" s="301"/>
      <c r="K100" s="301"/>
      <c r="L100" s="301"/>
      <c r="M100" s="301"/>
      <c r="S100" s="33" t="s">
        <v>12</v>
      </c>
      <c r="T100" s="1">
        <v>81</v>
      </c>
      <c r="U100" s="1">
        <v>187</v>
      </c>
      <c r="V100" s="1">
        <v>65</v>
      </c>
      <c r="W100" s="1">
        <v>232</v>
      </c>
      <c r="X100" s="1">
        <v>97</v>
      </c>
      <c r="Y100" s="1">
        <v>29</v>
      </c>
      <c r="Z100" s="1">
        <v>660</v>
      </c>
    </row>
    <row r="101" spans="3:37" ht="19.5" customHeight="1">
      <c r="C101" s="301"/>
      <c r="D101" s="301"/>
      <c r="E101" s="301"/>
      <c r="F101" s="301"/>
      <c r="G101" s="301"/>
      <c r="H101" s="301"/>
      <c r="I101" s="301"/>
      <c r="J101" s="301"/>
      <c r="K101" s="301"/>
      <c r="L101" s="301"/>
      <c r="M101" s="301"/>
      <c r="S101" s="33" t="s">
        <v>1981</v>
      </c>
      <c r="T101" s="1">
        <v>75</v>
      </c>
      <c r="U101" s="1">
        <v>76</v>
      </c>
      <c r="V101" s="1">
        <v>56</v>
      </c>
      <c r="W101" s="1">
        <v>201</v>
      </c>
      <c r="X101" s="1">
        <v>176</v>
      </c>
      <c r="Y101" s="1">
        <v>19</v>
      </c>
      <c r="Z101" s="1">
        <v>468</v>
      </c>
    </row>
    <row r="102" spans="3:37">
      <c r="S102" s="33" t="s">
        <v>1982</v>
      </c>
      <c r="T102" s="1">
        <v>57</v>
      </c>
      <c r="U102" s="1">
        <v>132</v>
      </c>
      <c r="V102" s="1">
        <v>117</v>
      </c>
      <c r="W102" s="1">
        <v>178</v>
      </c>
      <c r="X102" s="1">
        <v>155</v>
      </c>
      <c r="Y102" s="1">
        <v>29</v>
      </c>
      <c r="Z102" s="1">
        <v>534</v>
      </c>
    </row>
    <row r="103" spans="3:37">
      <c r="S103" s="33" t="s">
        <v>13</v>
      </c>
      <c r="T103" s="1">
        <v>29</v>
      </c>
      <c r="U103" s="1">
        <v>70</v>
      </c>
      <c r="V103" s="1">
        <v>29</v>
      </c>
      <c r="W103" s="1">
        <v>138</v>
      </c>
      <c r="X103" s="1">
        <v>39</v>
      </c>
      <c r="Y103" s="1">
        <v>29</v>
      </c>
      <c r="Z103" s="1">
        <v>84</v>
      </c>
    </row>
    <row r="104" spans="3:37" ht="15">
      <c r="S104" s="33" t="s">
        <v>1</v>
      </c>
      <c r="T104" s="37">
        <f t="shared" ref="T104:Z104" si="62">SUM(T100:T103)</f>
        <v>242</v>
      </c>
      <c r="U104" s="37">
        <f t="shared" si="62"/>
        <v>465</v>
      </c>
      <c r="V104" s="37">
        <f t="shared" si="62"/>
        <v>267</v>
      </c>
      <c r="W104" s="37">
        <f t="shared" si="62"/>
        <v>749</v>
      </c>
      <c r="X104" s="37">
        <f t="shared" si="62"/>
        <v>467</v>
      </c>
      <c r="Y104" s="37">
        <f t="shared" si="62"/>
        <v>106</v>
      </c>
      <c r="Z104" s="37">
        <f t="shared" si="62"/>
        <v>1746</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0.49240121580547114</v>
      </c>
      <c r="U107" s="6">
        <f>IFERROR((((U100/1.645)/V50)),0)</f>
        <v>0.25835866261398177</v>
      </c>
      <c r="V107" s="6">
        <f>IFERROR((((V100/1.645)/U50)),0)</f>
        <v>0.26342451874366768</v>
      </c>
      <c r="W107" s="6">
        <f>IFERROR((((W100/1.645)/Z50)),0)</f>
        <v>0.20292580525245454</v>
      </c>
      <c r="X107" s="6">
        <f>IFERROR((((X100/1.645)/Y50)),0)</f>
        <v>0.33695180199739466</v>
      </c>
      <c r="Y107" s="6">
        <f>IFERROR((((Y100/1.645)/X50)),0)</f>
        <v>0</v>
      </c>
      <c r="Z107" s="6">
        <f>IFERROR((((Z100/1.645)/T50)),0)</f>
        <v>5.4108672349443644E-2</v>
      </c>
    </row>
    <row r="108" spans="3:37">
      <c r="S108" s="33" t="s">
        <v>1981</v>
      </c>
      <c r="T108" s="6">
        <f>IFERROR((((T101/1.645)/W51)),0)</f>
        <v>0.47992321228603418</v>
      </c>
      <c r="U108" s="6">
        <f>IFERROR((((U101/1.645)/V51)),0)</f>
        <v>0.44000578954986252</v>
      </c>
      <c r="V108" s="6">
        <f>IFERROR((((V101/1.645)/U51)),0)</f>
        <v>0.85106382978723405</v>
      </c>
      <c r="W108" s="6">
        <f>IFERROR((((W101/1.645)/Z51)),0)</f>
        <v>0.2305442449962723</v>
      </c>
      <c r="X108" s="6">
        <f>IFERROR((((X101/1.645)/Y51)),0)</f>
        <v>0.35663627152988858</v>
      </c>
      <c r="Y108" s="6">
        <f>IFERROR((((Y101/1.645)/X51)),0)</f>
        <v>0.7700101317122594</v>
      </c>
      <c r="Z108" s="6">
        <f>IFERROR((((Z101/1.645)/T51)),0)</f>
        <v>7.9803220264561325E-2</v>
      </c>
    </row>
    <row r="109" spans="3:37">
      <c r="S109" s="33" t="s">
        <v>1982</v>
      </c>
      <c r="T109" s="6">
        <f>IFERROR((((T102/1.645)/W52)),0)</f>
        <v>0.40765242267119617</v>
      </c>
      <c r="U109" s="6">
        <f>IFERROR((((U102/1.645)/V52)),0)</f>
        <v>0.27201071557364376</v>
      </c>
      <c r="V109" s="6">
        <f>IFERROR((((V102/1.645)/U52)),0)</f>
        <v>0.49051462110889849</v>
      </c>
      <c r="W109" s="6">
        <f>IFERROR((((W102/1.645)/Z52)),0)</f>
        <v>0.19673943078198397</v>
      </c>
      <c r="X109" s="6">
        <f>IFERROR((((X102/1.645)/Y52)),0)</f>
        <v>0.30893417708904281</v>
      </c>
      <c r="Y109" s="6">
        <f>IFERROR((((Y102/1.645)/X52)),0)</f>
        <v>0.58763931104356637</v>
      </c>
      <c r="Z109" s="6">
        <f>IFERROR((((Z102/1.645)/T52)),0)</f>
        <v>6.8125930910865384E-2</v>
      </c>
    </row>
    <row r="110" spans="3:37">
      <c r="S110" s="33" t="s">
        <v>13</v>
      </c>
      <c r="T110" s="6">
        <f>IFERROR((((T103/1.645)/W53)),0)</f>
        <v>0</v>
      </c>
      <c r="U110" s="6">
        <f>IFERROR((((U103/1.645)/V53)),0)</f>
        <v>0.56737588652482274</v>
      </c>
      <c r="V110" s="6">
        <f>IFERROR((((V103/1.645)/U53)),0)</f>
        <v>0</v>
      </c>
      <c r="W110" s="6">
        <f>IFERROR((((W103/1.645)/Z53)),0)</f>
        <v>0.83890577507598774</v>
      </c>
      <c r="X110" s="6">
        <f>IFERROR((((X103/1.645)/Y53)),0)</f>
        <v>1.1854103343465046</v>
      </c>
      <c r="Y110" s="6">
        <f>IFERROR((((Y103/1.645)/X53)),0)</f>
        <v>0</v>
      </c>
      <c r="Z110" s="6">
        <f>IFERROR((((Z103/1.645)/T53)),0)</f>
        <v>0.32944406314344543</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Bellingham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Bellingham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Bellingham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0.46173254835996635</v>
      </c>
      <c r="G181" s="116">
        <f>AK50</f>
        <v>0.61978661493695442</v>
      </c>
      <c r="H181" s="269">
        <f>AE50</f>
        <v>0.58333333333333337</v>
      </c>
      <c r="I181" s="270">
        <f>AF50</f>
        <v>0.51315789473684215</v>
      </c>
      <c r="J181" s="270">
        <f>AG50</f>
        <v>0.43415637860082307</v>
      </c>
      <c r="K181" s="270">
        <f>AH50</f>
        <v>0.36303630363036304</v>
      </c>
    </row>
    <row r="182" spans="3:28" ht="18.75" customHeight="1">
      <c r="C182" s="29" t="s">
        <v>2364</v>
      </c>
      <c r="D182" s="29"/>
      <c r="E182" s="29"/>
      <c r="F182" s="116">
        <f>AJ47</f>
        <v>0.50210260723296884</v>
      </c>
      <c r="G182" s="116">
        <f>AK47</f>
        <v>0.37277723892660847</v>
      </c>
      <c r="H182" s="269">
        <f>AE47</f>
        <v>0.37037037037037041</v>
      </c>
      <c r="I182" s="270">
        <f>AF47</f>
        <v>0.48684210526315791</v>
      </c>
      <c r="J182" s="270">
        <f>AG47</f>
        <v>0.51646090534979416</v>
      </c>
      <c r="K182" s="270">
        <f>AH47</f>
        <v>0.62376237623762376</v>
      </c>
    </row>
    <row r="183" spans="3:28" ht="18.75" customHeight="1">
      <c r="C183" s="121" t="s">
        <v>1981</v>
      </c>
      <c r="D183" s="118"/>
      <c r="E183" s="118"/>
      <c r="F183" s="122">
        <f>AJ51</f>
        <v>0.22287636669470143</v>
      </c>
      <c r="G183" s="122">
        <f>AK51</f>
        <v>0.17992240543161978</v>
      </c>
      <c r="H183" s="271">
        <f t="shared" ref="H183:K184" si="63">AE51</f>
        <v>0.11419753086419752</v>
      </c>
      <c r="I183" s="272">
        <f t="shared" si="63"/>
        <v>0.10526315789473684</v>
      </c>
      <c r="J183" s="272">
        <f t="shared" si="63"/>
        <v>0.24691358024691357</v>
      </c>
      <c r="K183" s="272">
        <f t="shared" si="63"/>
        <v>0.33003300330033003</v>
      </c>
    </row>
    <row r="184" spans="3:28">
      <c r="C184" s="121" t="s">
        <v>1982</v>
      </c>
      <c r="D184" s="118"/>
      <c r="E184" s="118"/>
      <c r="F184" s="122">
        <f>AJ52</f>
        <v>0.27922624053826745</v>
      </c>
      <c r="G184" s="122">
        <f>AK52</f>
        <v>0.19285483349498869</v>
      </c>
      <c r="H184" s="271">
        <f t="shared" si="63"/>
        <v>0.25617283950617287</v>
      </c>
      <c r="I184" s="272">
        <f t="shared" si="63"/>
        <v>0.38157894736842107</v>
      </c>
      <c r="J184" s="272">
        <f t="shared" si="63"/>
        <v>0.26954732510288065</v>
      </c>
      <c r="K184" s="272">
        <f t="shared" si="63"/>
        <v>0.29372937293729373</v>
      </c>
    </row>
    <row r="185" spans="3:28">
      <c r="C185" s="29" t="s">
        <v>13</v>
      </c>
      <c r="D185" s="29"/>
      <c r="E185" s="29"/>
      <c r="F185" s="116">
        <f>AJ49</f>
        <v>3.6164844407064758E-2</v>
      </c>
      <c r="G185" s="116">
        <f>AK49</f>
        <v>7.4361461364371162E-3</v>
      </c>
      <c r="H185" s="269">
        <f>AE49</f>
        <v>4.6296296296296294E-2</v>
      </c>
      <c r="I185" s="270" t="str">
        <f>AF49</f>
        <v/>
      </c>
      <c r="J185" s="270">
        <f>AG49</f>
        <v>4.9382716049382713E-2</v>
      </c>
      <c r="K185" s="270">
        <f>AH49</f>
        <v>1.3201320132013201E-2</v>
      </c>
      <c r="AA185" s="82"/>
      <c r="AB185" s="82"/>
    </row>
    <row r="186" spans="3:28">
      <c r="C186" s="79" t="s">
        <v>2740</v>
      </c>
      <c r="D186" s="79"/>
      <c r="E186" s="79"/>
      <c r="F186" s="79"/>
      <c r="G186" s="79"/>
      <c r="H186" s="273"/>
      <c r="I186" s="274"/>
      <c r="J186" s="274"/>
      <c r="K186" s="274"/>
    </row>
    <row r="187" spans="3:28">
      <c r="C187" s="29" t="s">
        <v>12</v>
      </c>
      <c r="D187" s="29"/>
      <c r="E187" s="29"/>
      <c r="F187" s="116">
        <f>AJ59</f>
        <v>0.69911504424778759</v>
      </c>
      <c r="G187" s="116">
        <f>AK59</f>
        <v>0.78236272878535773</v>
      </c>
      <c r="H187" s="269">
        <f>AE59</f>
        <v>0.71631205673758869</v>
      </c>
      <c r="I187" s="270">
        <f>AF59</f>
        <v>1</v>
      </c>
      <c r="J187" s="270">
        <f>AG59</f>
        <v>0.64864864864864868</v>
      </c>
      <c r="K187" s="270">
        <f>AH59</f>
        <v>0.70512820512820518</v>
      </c>
      <c r="AA187" s="99"/>
      <c r="AB187" s="99"/>
    </row>
    <row r="188" spans="3:28" ht="14.25" customHeight="1">
      <c r="C188" s="29" t="s">
        <v>2364</v>
      </c>
      <c r="D188" s="29"/>
      <c r="E188" s="29"/>
      <c r="F188" s="116">
        <f>AJ56</f>
        <v>0.28908554572271383</v>
      </c>
      <c r="G188" s="116">
        <f>AK56</f>
        <v>0.21297836938435938</v>
      </c>
      <c r="H188" s="269">
        <f>AE56</f>
        <v>0.28368794326241131</v>
      </c>
      <c r="I188" s="270" t="str">
        <f>AF56</f>
        <v>0%</v>
      </c>
      <c r="J188" s="270">
        <f>AG56</f>
        <v>0.31531531531531531</v>
      </c>
      <c r="K188" s="270">
        <f>AH56</f>
        <v>0.29487179487179488</v>
      </c>
      <c r="AA188" s="99"/>
      <c r="AB188" s="99"/>
    </row>
    <row r="189" spans="3:28" ht="14.25" customHeight="1">
      <c r="C189" s="121" t="s">
        <v>1981</v>
      </c>
      <c r="D189" s="118"/>
      <c r="E189" s="118"/>
      <c r="F189" s="122">
        <f>AJ60</f>
        <v>0.1415929203539823</v>
      </c>
      <c r="G189" s="122">
        <f>AK60</f>
        <v>0.13311148086522462</v>
      </c>
      <c r="H189" s="271">
        <f t="shared" ref="H189:K190" si="64">AE60</f>
        <v>0.11347517730496454</v>
      </c>
      <c r="I189" s="272">
        <f t="shared" si="64"/>
        <v>0</v>
      </c>
      <c r="J189" s="272">
        <f t="shared" si="64"/>
        <v>0.12612612612612611</v>
      </c>
      <c r="K189" s="272">
        <f t="shared" si="64"/>
        <v>0.23076923076923078</v>
      </c>
      <c r="S189" s="99"/>
      <c r="T189" s="82"/>
    </row>
    <row r="190" spans="3:28" ht="14.25" customHeight="1">
      <c r="C190" s="121" t="s">
        <v>1982</v>
      </c>
      <c r="D190" s="118"/>
      <c r="E190" s="118"/>
      <c r="F190" s="122">
        <f>AJ61</f>
        <v>0.14749262536873156</v>
      </c>
      <c r="G190" s="122">
        <f>AK61</f>
        <v>7.9866888519134774E-2</v>
      </c>
      <c r="H190" s="271">
        <f t="shared" si="64"/>
        <v>0.1702127659574468</v>
      </c>
      <c r="I190" s="272">
        <f t="shared" si="64"/>
        <v>0</v>
      </c>
      <c r="J190" s="272">
        <f t="shared" si="64"/>
        <v>0.1891891891891892</v>
      </c>
      <c r="K190" s="272">
        <f t="shared" si="64"/>
        <v>6.4102564102564097E-2</v>
      </c>
      <c r="S190" s="99"/>
      <c r="U190" s="82"/>
      <c r="V190" s="82"/>
      <c r="W190" s="82"/>
      <c r="X190" s="82"/>
      <c r="Y190" s="82"/>
      <c r="Z190" s="82"/>
    </row>
    <row r="191" spans="3:28" ht="14.25" customHeight="1">
      <c r="C191" s="29" t="s">
        <v>13</v>
      </c>
      <c r="D191" s="29"/>
      <c r="E191" s="29"/>
      <c r="F191" s="116">
        <f>AJ58</f>
        <v>1.1799410029498525E-2</v>
      </c>
      <c r="G191" s="116">
        <f>AK58</f>
        <v>4.9916805324459234E-3</v>
      </c>
      <c r="H191" s="269" t="str">
        <f>AE58</f>
        <v/>
      </c>
      <c r="I191" s="270" t="str">
        <f>AF58</f>
        <v/>
      </c>
      <c r="J191" s="270">
        <f>AG58</f>
        <v>3.6036036036036036E-2</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0.36749116607773852</v>
      </c>
      <c r="G193" s="116">
        <f>AK68</f>
        <v>0.46649889902485059</v>
      </c>
      <c r="H193" s="269">
        <f>AE68</f>
        <v>0.48087431693989069</v>
      </c>
      <c r="I193" s="270">
        <f>AF68</f>
        <v>0.44776119402985076</v>
      </c>
      <c r="J193" s="270">
        <f>AG68</f>
        <v>0.37165775401069517</v>
      </c>
      <c r="K193" s="270">
        <f>AH68</f>
        <v>0.24444444444444444</v>
      </c>
      <c r="U193" s="99"/>
      <c r="V193" s="99"/>
      <c r="W193" s="99"/>
      <c r="X193" s="99"/>
      <c r="Y193" s="99"/>
      <c r="Z193" s="99"/>
    </row>
    <row r="194" spans="3:26" ht="14.25" customHeight="1">
      <c r="C194" s="29" t="s">
        <v>2364</v>
      </c>
      <c r="D194" s="29"/>
      <c r="E194" s="29"/>
      <c r="F194" s="116">
        <f>AJ65</f>
        <v>0.58775029446407534</v>
      </c>
      <c r="G194" s="116">
        <f>AK65</f>
        <v>0.52406417112299464</v>
      </c>
      <c r="H194" s="269">
        <f>AE65</f>
        <v>0.43715846994535523</v>
      </c>
      <c r="I194" s="270">
        <f>AF65</f>
        <v>0.55223880597014918</v>
      </c>
      <c r="J194" s="270">
        <f>AG65</f>
        <v>0.57754010695187175</v>
      </c>
      <c r="K194" s="270">
        <f>AH65</f>
        <v>0.73777777777777787</v>
      </c>
    </row>
    <row r="195" spans="3:26" ht="14.25" customHeight="1">
      <c r="C195" s="121" t="s">
        <v>1981</v>
      </c>
      <c r="D195" s="118"/>
      <c r="E195" s="118"/>
      <c r="F195" s="122">
        <f>AJ69</f>
        <v>0.25559481743227325</v>
      </c>
      <c r="G195" s="122">
        <f>AK69</f>
        <v>0.22428436615287825</v>
      </c>
      <c r="H195" s="271">
        <f t="shared" ref="H195:K196" si="65">AE69</f>
        <v>0.11475409836065574</v>
      </c>
      <c r="I195" s="272">
        <f t="shared" si="65"/>
        <v>0.11940298507462686</v>
      </c>
      <c r="J195" s="272">
        <f t="shared" si="65"/>
        <v>0.28342245989304815</v>
      </c>
      <c r="K195" s="272">
        <f t="shared" si="65"/>
        <v>0.36444444444444446</v>
      </c>
    </row>
    <row r="196" spans="3:26">
      <c r="C196" s="121" t="s">
        <v>1982</v>
      </c>
      <c r="D196" s="118"/>
      <c r="E196" s="118"/>
      <c r="F196" s="122">
        <f>AJ70</f>
        <v>0.33215547703180209</v>
      </c>
      <c r="G196" s="122">
        <f>AK70</f>
        <v>0.29977980497011641</v>
      </c>
      <c r="H196" s="271">
        <f t="shared" si="65"/>
        <v>0.32240437158469948</v>
      </c>
      <c r="I196" s="272">
        <f t="shared" si="65"/>
        <v>0.43283582089552236</v>
      </c>
      <c r="J196" s="272">
        <f t="shared" si="65"/>
        <v>0.29411764705882354</v>
      </c>
      <c r="K196" s="272">
        <f t="shared" si="65"/>
        <v>0.37333333333333335</v>
      </c>
    </row>
    <row r="197" spans="3:26" ht="15" thickBot="1">
      <c r="C197" s="29" t="s">
        <v>13</v>
      </c>
      <c r="D197" s="29"/>
      <c r="E197" s="29"/>
      <c r="G197" s="116">
        <f>AK67</f>
        <v>9.7514941805599241E-3</v>
      </c>
      <c r="H197" s="275">
        <f>AE67</f>
        <v>8.1967213114754092E-2</v>
      </c>
      <c r="I197" s="276" t="str">
        <f>AF67</f>
        <v/>
      </c>
      <c r="J197" s="276">
        <f>AH67</f>
        <v>1.7777777777777778E-2</v>
      </c>
      <c r="K197" s="276">
        <f>AG67</f>
        <v>5.3475935828877004E-2</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Bellingham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Bellingham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Bellingham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Bellingham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Bellingham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Bellingham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Bellingham and Whatcom County rental units by affordability and households by income, 2019</v>
      </c>
      <c r="D5" s="328"/>
      <c r="E5" s="328"/>
      <c r="F5" s="328"/>
      <c r="G5" s="328"/>
      <c r="H5" s="328"/>
      <c r="I5" s="328"/>
      <c r="J5" s="328"/>
      <c r="K5" s="328"/>
      <c r="L5" s="328"/>
      <c r="AA5" s="16" t="s">
        <v>2702</v>
      </c>
      <c r="AB5" s="304" t="str">
        <f>City</f>
        <v>Bellingham city, Washington</v>
      </c>
      <c r="AC5" s="304"/>
      <c r="BP5" s="201"/>
      <c r="BQ5" s="333"/>
      <c r="BR5" s="334"/>
    </row>
    <row r="6" spans="3:70" ht="18" customHeight="1">
      <c r="C6" s="328"/>
      <c r="D6" s="328"/>
      <c r="E6" s="328"/>
      <c r="F6" s="328"/>
      <c r="G6" s="328"/>
      <c r="H6" s="328"/>
      <c r="I6" s="328"/>
      <c r="J6" s="328"/>
      <c r="K6" s="328"/>
      <c r="L6" s="328"/>
      <c r="AA6" s="16" t="s">
        <v>2703</v>
      </c>
      <c r="AB6" s="304" t="str">
        <f>County</f>
        <v>Whatcom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Bellingham</v>
      </c>
      <c r="G8" s="219"/>
      <c r="H8" s="218"/>
      <c r="I8" s="65" t="str">
        <f>City_label</f>
        <v>Bellingham</v>
      </c>
      <c r="J8" s="219"/>
      <c r="K8" s="65" t="str">
        <f>County_label</f>
        <v>Whatcom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Bellingham</v>
      </c>
      <c r="AD10" s="63"/>
      <c r="AE10" s="220"/>
      <c r="AF10" s="63" t="str">
        <f>County_label</f>
        <v>Whatcom County</v>
      </c>
      <c r="AG10" s="63"/>
      <c r="AH10" s="220"/>
      <c r="AK10" s="63" t="str">
        <f>City_label</f>
        <v>Bellingham</v>
      </c>
      <c r="AL10" s="63"/>
      <c r="AM10" s="16"/>
      <c r="AN10" s="63" t="str">
        <f>County_label</f>
        <v>Whatcom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6000</v>
      </c>
      <c r="G11" s="208">
        <f>SUM(AD22:AE22)</f>
        <v>1765</v>
      </c>
      <c r="H11" s="209"/>
      <c r="I11" s="255">
        <f>AC22/$AC$27</f>
        <v>0.29784065524944153</v>
      </c>
      <c r="J11" s="255">
        <f>SUM(AD22:AE22)/SUM($AD$27:$AE$27)</f>
        <v>8.8715757728072386E-2</v>
      </c>
      <c r="K11" s="263">
        <f>AF22/$AF$27</f>
        <v>0.26483533161329487</v>
      </c>
      <c r="L11" s="263">
        <f>SUM(AG22:AH22)/SUM($AG$27:$AH$27)</f>
        <v>0.12178702570379436</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3445</v>
      </c>
      <c r="G12" s="208">
        <f t="shared" ref="G12:G14" si="1">SUM(AD23:AE23)</f>
        <v>3920</v>
      </c>
      <c r="H12" s="209"/>
      <c r="I12" s="255">
        <f t="shared" ref="I12:I15" si="2">AC23/$AC$27</f>
        <v>0.17101017622238768</v>
      </c>
      <c r="J12" s="255">
        <f t="shared" ref="J12:J14" si="3">SUM(AD23:AE23)/SUM($AD$27:$AE$27)</f>
        <v>0.19703443076149788</v>
      </c>
      <c r="K12" s="263">
        <f t="shared" ref="K12:K15" si="4">AF23/$AF$27</f>
        <v>0.17938989224465018</v>
      </c>
      <c r="L12" s="263">
        <f t="shared" ref="L12:L14" si="5">SUM(AG23:AH23)/SUM($AG$27:$AH$27)</f>
        <v>0.2250611995104039</v>
      </c>
      <c r="AA12" s="7" t="s">
        <v>2827</v>
      </c>
      <c r="AC12" s="112" t="s">
        <v>7</v>
      </c>
      <c r="AD12" s="112" t="s">
        <v>1255</v>
      </c>
      <c r="AE12" s="112" t="s">
        <v>2413</v>
      </c>
      <c r="AF12" s="112" t="s">
        <v>7</v>
      </c>
      <c r="AG12" s="112" t="s">
        <v>1255</v>
      </c>
      <c r="AH12" s="112" t="s">
        <v>2413</v>
      </c>
      <c r="AJ12" s="7" t="s">
        <v>2827</v>
      </c>
      <c r="AK12" s="222">
        <f>AC22/$AC$27</f>
        <v>0.29784065524944153</v>
      </c>
      <c r="AL12" s="222">
        <f>SUM(AD22:AE22)/SUM($AD$27:$AE$27)</f>
        <v>8.8715757728072386E-2</v>
      </c>
      <c r="AN12" s="222">
        <f>AF22/AF$27</f>
        <v>0.26483533161329487</v>
      </c>
      <c r="AO12" s="222">
        <f>SUM(AG22:AH22)/SUM($AG$27:$AH$27)</f>
        <v>0.12178702570379436</v>
      </c>
      <c r="BA12" s="316"/>
      <c r="BB12" s="316"/>
      <c r="BC12" s="316"/>
      <c r="BD12" s="316"/>
      <c r="BE12" s="316"/>
      <c r="BF12" s="316"/>
      <c r="BG12" s="316"/>
      <c r="BH12" s="316"/>
      <c r="BI12" s="316"/>
      <c r="BJ12" s="316"/>
      <c r="BK12" s="316"/>
      <c r="BL12" s="316"/>
    </row>
    <row r="13" spans="3:70" ht="18" customHeight="1">
      <c r="C13" s="43" t="s">
        <v>1980</v>
      </c>
      <c r="D13" s="29"/>
      <c r="E13" s="29"/>
      <c r="F13" s="208">
        <f t="shared" si="0"/>
        <v>4540</v>
      </c>
      <c r="G13" s="208">
        <f t="shared" si="1"/>
        <v>11680</v>
      </c>
      <c r="H13" s="209"/>
      <c r="I13" s="255">
        <f t="shared" si="2"/>
        <v>0.22536609580541078</v>
      </c>
      <c r="J13" s="255">
        <f t="shared" si="3"/>
        <v>0.58708218145262625</v>
      </c>
      <c r="K13" s="263">
        <f t="shared" si="4"/>
        <v>0.22218849597814538</v>
      </c>
      <c r="L13" s="263">
        <f t="shared" si="5"/>
        <v>0.53396572827417377</v>
      </c>
      <c r="AA13" s="7" t="s">
        <v>2828</v>
      </c>
      <c r="AC13" s="112" t="s">
        <v>8</v>
      </c>
      <c r="AD13" s="112" t="s">
        <v>1256</v>
      </c>
      <c r="AE13" s="112" t="s">
        <v>2414</v>
      </c>
      <c r="AF13" s="112" t="s">
        <v>8</v>
      </c>
      <c r="AG13" s="112" t="s">
        <v>1256</v>
      </c>
      <c r="AH13" s="112" t="s">
        <v>2414</v>
      </c>
      <c r="AJ13" s="7" t="s">
        <v>2828</v>
      </c>
      <c r="AK13" s="222">
        <f>AC23/$AC$27</f>
        <v>0.17101017622238768</v>
      </c>
      <c r="AL13" s="222">
        <f t="shared" ref="AL13:AL15" si="6">SUM(AD23:AE23)/SUM($AD$27:$AE$27)</f>
        <v>0.19703443076149788</v>
      </c>
      <c r="AN13" s="222">
        <f t="shared" ref="AN13:AN14" si="7">AF23/AF$27</f>
        <v>0.17938989224465018</v>
      </c>
      <c r="AO13" s="222">
        <f t="shared" ref="AO13:AO15" si="8">SUM(AG23:AH23)/SUM($AG$27:$AH$27)</f>
        <v>0.2250611995104039</v>
      </c>
    </row>
    <row r="14" spans="3:70" ht="18" customHeight="1">
      <c r="C14" s="43" t="s">
        <v>2816</v>
      </c>
      <c r="D14" s="29"/>
      <c r="E14" s="29"/>
      <c r="F14" s="210">
        <f t="shared" si="0"/>
        <v>2190</v>
      </c>
      <c r="G14" s="208">
        <f t="shared" si="1"/>
        <v>2530</v>
      </c>
      <c r="H14" s="211"/>
      <c r="I14" s="255">
        <f t="shared" si="2"/>
        <v>0.10871183916604617</v>
      </c>
      <c r="J14" s="255">
        <f t="shared" si="3"/>
        <v>0.12716763005780346</v>
      </c>
      <c r="K14" s="263">
        <f t="shared" si="4"/>
        <v>0.10957656700561542</v>
      </c>
      <c r="L14" s="263">
        <f t="shared" si="5"/>
        <v>0.11888004895960833</v>
      </c>
      <c r="AA14" s="7" t="s">
        <v>2829</v>
      </c>
      <c r="AC14" s="112" t="s">
        <v>9</v>
      </c>
      <c r="AD14" s="112" t="s">
        <v>1257</v>
      </c>
      <c r="AE14" s="112" t="s">
        <v>2415</v>
      </c>
      <c r="AF14" s="112" t="s">
        <v>9</v>
      </c>
      <c r="AG14" s="112" t="s">
        <v>1257</v>
      </c>
      <c r="AH14" s="112" t="s">
        <v>2415</v>
      </c>
      <c r="AJ14" s="7" t="s">
        <v>2829</v>
      </c>
      <c r="AK14" s="222">
        <f>AC24/$AC$27</f>
        <v>0.22536609580541078</v>
      </c>
      <c r="AL14" s="222">
        <f t="shared" si="6"/>
        <v>0.58708218145262625</v>
      </c>
      <c r="AN14" s="222">
        <f t="shared" si="7"/>
        <v>0.22218849597814538</v>
      </c>
      <c r="AO14" s="222">
        <f t="shared" si="8"/>
        <v>0.53396572827417377</v>
      </c>
      <c r="BP14" s="185"/>
      <c r="BQ14" s="185"/>
      <c r="BR14" s="185"/>
    </row>
    <row r="15" spans="3:70" ht="18" customHeight="1">
      <c r="C15" s="70" t="s">
        <v>2818</v>
      </c>
      <c r="D15" s="70"/>
      <c r="E15" s="70"/>
      <c r="F15" s="212">
        <f t="shared" si="0"/>
        <v>3970</v>
      </c>
      <c r="G15" s="212">
        <f>AD26</f>
        <v>0</v>
      </c>
      <c r="H15" s="213"/>
      <c r="I15" s="264">
        <f t="shared" si="2"/>
        <v>0.19707123355671383</v>
      </c>
      <c r="J15" s="264"/>
      <c r="K15" s="265">
        <f t="shared" si="4"/>
        <v>0.22385794505994841</v>
      </c>
      <c r="L15" s="265"/>
      <c r="AA15" s="7" t="s">
        <v>2831</v>
      </c>
      <c r="AC15" s="112" t="s">
        <v>10</v>
      </c>
      <c r="AD15" s="112" t="s">
        <v>1258</v>
      </c>
      <c r="AE15" s="112" t="s">
        <v>2416</v>
      </c>
      <c r="AF15" s="112" t="s">
        <v>10</v>
      </c>
      <c r="AG15" s="112" t="s">
        <v>1258</v>
      </c>
      <c r="AH15" s="112" t="s">
        <v>2416</v>
      </c>
      <c r="AJ15" s="7" t="s">
        <v>2831</v>
      </c>
      <c r="AK15" s="224">
        <f>SUM(AC25:AC26)/$AC$27</f>
        <v>0.30578307272276001</v>
      </c>
      <c r="AL15" s="224">
        <f t="shared" si="6"/>
        <v>0.12716763005780346</v>
      </c>
      <c r="AM15" s="35"/>
      <c r="AN15" s="224">
        <f>SUM(AF25:AF26)/AF$27</f>
        <v>0.33343451206556379</v>
      </c>
      <c r="AO15" s="224">
        <f t="shared" si="8"/>
        <v>0.11888004895960833</v>
      </c>
      <c r="BA15" s="7"/>
      <c r="BP15" s="185"/>
      <c r="BQ15" s="337" t="s">
        <v>2813</v>
      </c>
      <c r="BR15" s="338"/>
    </row>
    <row r="16" spans="3:70" ht="18" customHeight="1">
      <c r="C16" s="81" t="s">
        <v>1</v>
      </c>
      <c r="D16" s="16"/>
      <c r="E16" s="16"/>
      <c r="F16" s="221">
        <f t="shared" si="0"/>
        <v>20145</v>
      </c>
      <c r="G16" s="221">
        <f>SUM(G11:G15)</f>
        <v>19895</v>
      </c>
      <c r="AA16" s="28" t="s">
        <v>2725</v>
      </c>
      <c r="AC16" s="112" t="s">
        <v>11</v>
      </c>
      <c r="AD16" s="112"/>
      <c r="AE16" s="112"/>
      <c r="AF16" s="112" t="s">
        <v>11</v>
      </c>
      <c r="AG16" s="112"/>
      <c r="AH16" s="112"/>
      <c r="AJ16" s="28"/>
      <c r="AK16" s="223">
        <f>SUM(AK12:AK15)</f>
        <v>1</v>
      </c>
      <c r="AL16" s="223">
        <f>SUM(AL12:AL15)</f>
        <v>1</v>
      </c>
      <c r="AN16" s="223">
        <f t="shared" ref="AN16:AO16" si="9">SUM(AN12:AN15)</f>
        <v>0.99984823190165417</v>
      </c>
      <c r="AO16" s="223">
        <f t="shared" si="9"/>
        <v>0.99969400244798046</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Bellingham and Whatcom County renter household income compared to rental unit affordability, 2019</v>
      </c>
      <c r="D20" s="301"/>
      <c r="E20" s="301"/>
      <c r="F20" s="301"/>
      <c r="G20" s="301"/>
      <c r="H20" s="301"/>
      <c r="I20" s="301"/>
      <c r="J20" s="301"/>
      <c r="K20" s="301"/>
      <c r="L20" s="301"/>
      <c r="AA20" s="31"/>
      <c r="AC20" s="63" t="str">
        <f>City_label</f>
        <v>Bellingham</v>
      </c>
      <c r="AD20" s="63"/>
      <c r="AE20" s="63"/>
      <c r="AF20" s="63" t="str">
        <f>County_label</f>
        <v>Whatcom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6000</v>
      </c>
      <c r="AD22" s="1">
        <v>1735</v>
      </c>
      <c r="AE22" s="1">
        <v>30</v>
      </c>
      <c r="AF22" s="1">
        <v>8725</v>
      </c>
      <c r="AG22" s="1">
        <v>3915</v>
      </c>
      <c r="AH22" s="1">
        <v>65</v>
      </c>
    </row>
    <row r="23" spans="3:71" ht="17.25" customHeight="1">
      <c r="AA23" s="7" t="s">
        <v>2828</v>
      </c>
      <c r="AC23" s="1">
        <v>3445</v>
      </c>
      <c r="AD23" s="1">
        <v>3810</v>
      </c>
      <c r="AE23" s="1">
        <v>110</v>
      </c>
      <c r="AF23" s="1">
        <v>5910</v>
      </c>
      <c r="AG23" s="1">
        <v>7150</v>
      </c>
      <c r="AH23" s="1">
        <v>205</v>
      </c>
    </row>
    <row r="24" spans="3:71" ht="17.25" customHeight="1">
      <c r="C24" s="51"/>
      <c r="AA24" s="7" t="s">
        <v>2829</v>
      </c>
      <c r="AC24" s="1">
        <v>4540</v>
      </c>
      <c r="AD24" s="1">
        <v>11300</v>
      </c>
      <c r="AE24" s="1">
        <v>380</v>
      </c>
      <c r="AF24" s="1">
        <v>7320</v>
      </c>
      <c r="AG24" s="1">
        <v>17015</v>
      </c>
      <c r="AH24" s="1">
        <v>435</v>
      </c>
    </row>
    <row r="25" spans="3:71" ht="17.25" customHeight="1">
      <c r="C25" s="51"/>
      <c r="AA25" s="7" t="s">
        <v>2831</v>
      </c>
      <c r="AC25" s="1">
        <v>2190</v>
      </c>
      <c r="AD25" s="1">
        <v>2520</v>
      </c>
      <c r="AE25" s="1">
        <v>10</v>
      </c>
      <c r="AF25" s="1">
        <v>3610</v>
      </c>
      <c r="AG25" s="1">
        <v>3875</v>
      </c>
      <c r="AH25" s="1">
        <v>10</v>
      </c>
    </row>
    <row r="26" spans="3:71" ht="17.25" customHeight="1">
      <c r="C26" s="51"/>
      <c r="AA26" s="28" t="s">
        <v>2725</v>
      </c>
      <c r="AC26" s="1">
        <v>3970</v>
      </c>
      <c r="AD26" s="1"/>
      <c r="AE26" s="1"/>
      <c r="AF26" s="1">
        <v>7375</v>
      </c>
      <c r="AG26" s="1"/>
      <c r="AH26" s="1"/>
      <c r="AI26" s="31"/>
    </row>
    <row r="27" spans="3:71" ht="18">
      <c r="C27" s="51"/>
      <c r="AA27" s="7" t="s">
        <v>2</v>
      </c>
      <c r="AC27" s="2">
        <v>20145</v>
      </c>
      <c r="AD27" s="1">
        <v>19365</v>
      </c>
      <c r="AE27" s="1">
        <v>530</v>
      </c>
      <c r="AF27" s="2">
        <v>32945</v>
      </c>
      <c r="AG27" s="1">
        <v>31960</v>
      </c>
      <c r="AH27" s="1">
        <v>720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6000</v>
      </c>
      <c r="AD35" s="33">
        <f>SUM(AD22:AE22)</f>
        <v>1765</v>
      </c>
      <c r="AE35" s="188">
        <f>AD35-AC35</f>
        <v>-4235</v>
      </c>
      <c r="AF35" s="31"/>
      <c r="AG35" s="5">
        <f>MAX(AC35,AD35)</f>
        <v>6000</v>
      </c>
      <c r="AH35" s="5">
        <f>AG35+$AH$39</f>
        <v>6600</v>
      </c>
      <c r="AI35" t="str">
        <f>IF(AE35&lt;0,"Shortfall:",IF(AE35&gt;0,"Surplus: ",""))&amp;CHAR(10)&amp;TEXT((AE35),"+#,##0;-#,##0;0")&amp;" units"</f>
        <v>Shortfall:
-4,235 units</v>
      </c>
    </row>
    <row r="36" spans="3:39">
      <c r="AA36" s="7" t="s">
        <v>2828</v>
      </c>
      <c r="AB36" s="164" t="s">
        <v>1271</v>
      </c>
      <c r="AC36" s="5">
        <f>AC23</f>
        <v>3445</v>
      </c>
      <c r="AD36" s="33">
        <f>SUM(AD23:AE23)</f>
        <v>3920</v>
      </c>
      <c r="AE36" s="188">
        <f>AD36-AC36</f>
        <v>475</v>
      </c>
      <c r="AF36" s="31"/>
      <c r="AG36" s="5">
        <f>MAX(AC36,AD36)</f>
        <v>3920</v>
      </c>
      <c r="AH36" s="5">
        <f>AG36+$AH$39</f>
        <v>4520</v>
      </c>
      <c r="AI36" t="str">
        <f>IF(AE36&lt;0,"Shortfall:",IF(AE36&gt;0,"Surplus: ",""))&amp;CHAR(10)&amp;TEXT((AE36),"+#,##0;-#,##0;0")&amp;" units"</f>
        <v>Surplus: 
+475 units</v>
      </c>
    </row>
    <row r="37" spans="3:39">
      <c r="AA37" s="7" t="s">
        <v>2829</v>
      </c>
      <c r="AB37" s="164" t="s">
        <v>1272</v>
      </c>
      <c r="AC37" s="5">
        <f>AC24</f>
        <v>4540</v>
      </c>
      <c r="AD37" s="33">
        <f>SUM(AD24:AE24)</f>
        <v>11680</v>
      </c>
      <c r="AE37" s="188">
        <f>AD37-AC37</f>
        <v>7140</v>
      </c>
      <c r="AF37" s="31"/>
      <c r="AG37" s="5">
        <f>MAX(AC37,AD37)</f>
        <v>11680</v>
      </c>
      <c r="AH37" s="5">
        <f>AG37+$AH$39</f>
        <v>12280</v>
      </c>
      <c r="AI37" t="str">
        <f>IF(AE37&lt;0,"Shortfall:",IF(AE37&gt;0,"Surplus: ",""))&amp;CHAR(10)&amp;TEXT((AE37),"+#,##0;-#,##0;0")&amp;" units"</f>
        <v>Surplus: 
+7,140 units</v>
      </c>
    </row>
    <row r="38" spans="3:39">
      <c r="AA38" s="7" t="s">
        <v>2831</v>
      </c>
      <c r="AB38" s="164" t="s">
        <v>1273</v>
      </c>
      <c r="AC38" s="5">
        <f>SUM(AC25:AC26)</f>
        <v>6160</v>
      </c>
      <c r="AD38" s="33">
        <f>SUM(AD25:AE25)</f>
        <v>2530</v>
      </c>
      <c r="AE38" s="188">
        <f>AD38-AC38</f>
        <v>-3630</v>
      </c>
      <c r="AF38" s="31"/>
      <c r="AG38" s="5">
        <f>MAX(AC38,AD38)</f>
        <v>6160</v>
      </c>
      <c r="AH38" s="5">
        <f>AG38+$AH$39</f>
        <v>6760</v>
      </c>
      <c r="AI38" t="str">
        <f>IF(AE38&lt;0,"Shortfall:",IF(AE38&gt;0,"Surplus: ",""))&amp;CHAR(10)&amp;TEXT((AE38),"+#,##0;-#,##0;0")&amp;" units"</f>
        <v>Shortfall:
-3,630 units</v>
      </c>
    </row>
    <row r="39" spans="3:39">
      <c r="AA39" s="28" t="s">
        <v>2725</v>
      </c>
      <c r="AC39" s="5">
        <f>AC27</f>
        <v>20145</v>
      </c>
      <c r="AD39" s="33">
        <f>SUM(AD27:AE27)</f>
        <v>19895</v>
      </c>
      <c r="AE39" s="33"/>
      <c r="AF39" s="31"/>
      <c r="AG39" s="59" t="s">
        <v>2682</v>
      </c>
      <c r="AH39" s="109">
        <f>0.1*MAX(AC35:AC37)</f>
        <v>600</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Bellingham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5180</v>
      </c>
      <c r="AD55" s="1">
        <v>1450</v>
      </c>
      <c r="AE55" s="1">
        <v>55</v>
      </c>
    </row>
    <row r="56" spans="27:39">
      <c r="AA56" s="7" t="s">
        <v>2828</v>
      </c>
      <c r="AB56" s="31" t="s">
        <v>1271</v>
      </c>
      <c r="AC56" s="1">
        <v>3390</v>
      </c>
      <c r="AD56" s="1">
        <v>1820</v>
      </c>
      <c r="AE56" s="1">
        <v>215</v>
      </c>
    </row>
    <row r="57" spans="27:39">
      <c r="AA57" s="7" t="s">
        <v>2829</v>
      </c>
      <c r="AB57" s="31" t="s">
        <v>1272</v>
      </c>
      <c r="AC57" s="1">
        <v>4100</v>
      </c>
      <c r="AD57" s="1">
        <v>10395</v>
      </c>
      <c r="AE57" s="1">
        <v>195</v>
      </c>
    </row>
    <row r="58" spans="27:39">
      <c r="AA58" s="7" t="s">
        <v>2831</v>
      </c>
      <c r="AB58" s="31" t="s">
        <v>1273</v>
      </c>
      <c r="AC58" s="1">
        <v>1340</v>
      </c>
      <c r="AD58" s="1">
        <v>4315</v>
      </c>
      <c r="AE58" s="1">
        <v>115</v>
      </c>
    </row>
    <row r="59" spans="27:39">
      <c r="AA59" s="28" t="s">
        <v>2725</v>
      </c>
      <c r="AB59" s="31"/>
      <c r="AC59" s="1">
        <v>4380</v>
      </c>
      <c r="AD59" s="1"/>
      <c r="AE59" s="1"/>
    </row>
    <row r="60" spans="27:39" ht="15">
      <c r="AA60" s="7" t="s">
        <v>2</v>
      </c>
      <c r="AB60" s="31"/>
      <c r="AC60" s="2">
        <v>18385</v>
      </c>
      <c r="AD60" s="2">
        <v>17980</v>
      </c>
      <c r="AE60" s="2">
        <v>575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5180</v>
      </c>
      <c r="AD65" s="33">
        <f>SUM(AD55:AE55)</f>
        <v>1505</v>
      </c>
      <c r="AE65" s="97">
        <f>AD65-AC65</f>
        <v>-3675</v>
      </c>
      <c r="AF65" s="31"/>
      <c r="AG65" s="5">
        <f>MAX(AC65,AD65)</f>
        <v>5180</v>
      </c>
      <c r="AH65" s="5">
        <f>AG65+$AH$39</f>
        <v>5780</v>
      </c>
      <c r="AI65" t="str">
        <f>IF(AE65&lt;0,"Shortfall:",IF(AE65&gt;0,"Surplus: ",""))&amp;CHAR(10)&amp;TEXT((AE65),"+#,##0;-#,##0;0")&amp;" units"</f>
        <v>Shortfall:
-3,675 units</v>
      </c>
      <c r="AK65" s="31"/>
      <c r="AL65" s="31"/>
      <c r="AM65" s="31"/>
    </row>
    <row r="66" spans="3:39" ht="15">
      <c r="AA66" s="7"/>
      <c r="AB66" s="31" t="s">
        <v>1271</v>
      </c>
      <c r="AC66" s="5">
        <f>SUM(AC56)</f>
        <v>3390</v>
      </c>
      <c r="AD66" s="33">
        <f>SUM(AD56:AE56)</f>
        <v>2035</v>
      </c>
      <c r="AE66" s="97">
        <f>AD66-AC66</f>
        <v>-1355</v>
      </c>
      <c r="AF66" s="31"/>
      <c r="AG66" s="5">
        <f>MAX(AC66,AD66)</f>
        <v>3390</v>
      </c>
      <c r="AH66" s="5">
        <f>AG66+$AH$39</f>
        <v>3990</v>
      </c>
      <c r="AI66" t="str">
        <f>IF(AE66&lt;0,"Shortfall:",IF(AE66&gt;0,"Surplus: ",""))&amp;CHAR(10)&amp;TEXT((AE66),"+#,##0;-#,##0;0")&amp;" units"</f>
        <v>Shortfall:
-1,355 units</v>
      </c>
      <c r="AK66" s="31"/>
      <c r="AL66" s="31"/>
      <c r="AM66" s="31"/>
    </row>
    <row r="67" spans="3:39" ht="15">
      <c r="AA67" s="7"/>
      <c r="AB67" s="31" t="s">
        <v>1272</v>
      </c>
      <c r="AC67" s="5">
        <f>SUM(AC57)</f>
        <v>4100</v>
      </c>
      <c r="AD67" s="33">
        <f>SUM(AD57:AE57)</f>
        <v>10590</v>
      </c>
      <c r="AE67" s="97">
        <f>AD67-AC67</f>
        <v>6490</v>
      </c>
      <c r="AF67" s="31"/>
      <c r="AG67" s="5">
        <f>MAX(AC67,AD67)</f>
        <v>10590</v>
      </c>
      <c r="AH67" s="5">
        <f>AG67+$AH$39</f>
        <v>11190</v>
      </c>
      <c r="AI67" t="str">
        <f>IF(AE67&lt;0,"Shortfall:",IF(AE67&gt;0,"Surplus: ",""))&amp;CHAR(10)&amp;TEXT((AE67),"+#,##0;-#,##0;0")&amp;" units"</f>
        <v>Surplus: 
+6,490 units</v>
      </c>
      <c r="AK67" s="31"/>
      <c r="AL67" s="31"/>
      <c r="AM67" s="31"/>
    </row>
    <row r="68" spans="3:39" ht="18.75" customHeight="1">
      <c r="D68" s="200"/>
      <c r="E68" s="200"/>
      <c r="F68" s="200"/>
      <c r="G68" s="200"/>
      <c r="H68" s="200"/>
      <c r="I68" s="200"/>
      <c r="J68" s="200"/>
      <c r="K68" s="200"/>
      <c r="L68" s="200"/>
      <c r="AA68" s="7"/>
      <c r="AB68" s="31" t="s">
        <v>1273</v>
      </c>
      <c r="AC68" s="5">
        <f>SUM(AC58:AC59)</f>
        <v>5720</v>
      </c>
      <c r="AD68" s="33">
        <f>SUM(AD58:AE58)</f>
        <v>4430</v>
      </c>
      <c r="AE68" s="97">
        <f>AD68-AC68</f>
        <v>-1290</v>
      </c>
      <c r="AF68" s="31"/>
      <c r="AG68" s="5">
        <f>MAX(AC68,AD68)</f>
        <v>5720</v>
      </c>
      <c r="AH68" s="5">
        <f>AG68+$AH$39</f>
        <v>6320</v>
      </c>
      <c r="AI68" t="str">
        <f>IF(AE68&lt;0,"Shortfall:",IF(AE68&gt;0,"Surplus: ",""))&amp;CHAR(10)&amp;TEXT((AE68),"+#,##0;-#,##0;0")&amp;" units"</f>
        <v>Shortfall:
-1,290 units</v>
      </c>
      <c r="AK68" s="31"/>
      <c r="AL68" s="31"/>
      <c r="AM68" s="31"/>
    </row>
    <row r="69" spans="3:39" ht="18.75" customHeight="1">
      <c r="C69" s="200"/>
      <c r="D69" s="200"/>
      <c r="E69" s="200"/>
      <c r="F69" s="200"/>
      <c r="G69" s="200"/>
      <c r="H69" s="200"/>
      <c r="I69" s="200"/>
      <c r="J69" s="200"/>
      <c r="K69" s="200"/>
      <c r="L69" s="200"/>
      <c r="AA69" s="7"/>
      <c r="AB69" s="31"/>
      <c r="AC69" s="5">
        <f>AC60</f>
        <v>18385</v>
      </c>
      <c r="AD69" s="33">
        <f>SUM(AD60:AE60)</f>
        <v>18555</v>
      </c>
      <c r="AE69" s="33"/>
      <c r="AF69" s="31"/>
      <c r="AG69" s="59" t="s">
        <v>2682</v>
      </c>
      <c r="AH69" s="109">
        <f>0.1*MAX(AC65:AC68)</f>
        <v>572</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Bellingham five year change in renter households by income and rental units by affordability, 2014 - 2019</v>
      </c>
      <c r="D78" s="328"/>
      <c r="E78" s="328"/>
      <c r="F78" s="328"/>
      <c r="G78" s="328"/>
      <c r="H78" s="328"/>
      <c r="I78" s="328"/>
      <c r="J78" s="328"/>
      <c r="K78" s="328"/>
      <c r="L78" s="328"/>
      <c r="AB78" s="31" t="s">
        <v>1270</v>
      </c>
      <c r="AC78" s="5">
        <f t="shared" ref="AC78:AD80" si="10">AC35-AC65</f>
        <v>820</v>
      </c>
      <c r="AD78" s="5">
        <f t="shared" si="10"/>
        <v>260</v>
      </c>
      <c r="AE78" s="5">
        <f>AD78-AC78</f>
        <v>-560</v>
      </c>
      <c r="AG78" s="5">
        <f>MAX(AC78,AD78)</f>
        <v>820</v>
      </c>
      <c r="AH78" s="5">
        <f>MAX(AG78,0)+$AH$82</f>
        <v>3705</v>
      </c>
      <c r="AI78" t="str">
        <f>"Difference:"&amp;CHAR(10)&amp;TEXT(AE78,"+#,##0;-#,##0;0")&amp;" units"</f>
        <v>Difference:
-560 units</v>
      </c>
    </row>
    <row r="79" spans="3:39" ht="18" customHeight="1">
      <c r="C79" s="328"/>
      <c r="D79" s="328"/>
      <c r="E79" s="328"/>
      <c r="F79" s="328"/>
      <c r="G79" s="328"/>
      <c r="H79" s="328"/>
      <c r="I79" s="328"/>
      <c r="J79" s="328"/>
      <c r="K79" s="328"/>
      <c r="L79" s="328"/>
      <c r="AB79" s="31" t="s">
        <v>1271</v>
      </c>
      <c r="AC79" s="5">
        <f t="shared" si="10"/>
        <v>55</v>
      </c>
      <c r="AD79" s="5">
        <f t="shared" si="10"/>
        <v>1885</v>
      </c>
      <c r="AE79" s="5">
        <f>AD79-AC79</f>
        <v>1830</v>
      </c>
      <c r="AG79" s="5">
        <f>MAX(AC79,AD79)</f>
        <v>1885</v>
      </c>
      <c r="AH79" s="5">
        <f>MAX(AG79,0)+$AH$82</f>
        <v>4770</v>
      </c>
      <c r="AI79" t="str">
        <f>"Difference:"&amp;CHAR(10)&amp;TEXT(AE79,"+#,##0;-#,##0;0")&amp;" units"</f>
        <v>Difference:
+1,830 units</v>
      </c>
    </row>
    <row r="80" spans="3:39" ht="18">
      <c r="C80" s="192"/>
      <c r="D80" s="192"/>
      <c r="E80" s="192"/>
      <c r="F80" s="192"/>
      <c r="G80" s="192"/>
      <c r="H80" s="192"/>
      <c r="I80" s="192"/>
      <c r="J80" s="192"/>
      <c r="K80" s="192"/>
      <c r="L80" s="192"/>
      <c r="AB80" s="31" t="s">
        <v>1272</v>
      </c>
      <c r="AC80" s="5">
        <f t="shared" si="10"/>
        <v>440</v>
      </c>
      <c r="AD80" s="5">
        <f t="shared" si="10"/>
        <v>1090</v>
      </c>
      <c r="AE80" s="5">
        <f>AD80-AC80</f>
        <v>650</v>
      </c>
      <c r="AG80" s="5">
        <f>MAX(AC80,AD80)</f>
        <v>1090</v>
      </c>
      <c r="AH80" s="5">
        <f>MAX(AG80,0)+$AH$82</f>
        <v>3975</v>
      </c>
      <c r="AI80" t="str">
        <f>"Difference:"&amp;CHAR(10)&amp;TEXT(AE80,"+#,##0;-#,##0;0")&amp;" units"</f>
        <v>Difference:
+650 units</v>
      </c>
    </row>
    <row r="81" spans="28:35">
      <c r="AB81" s="31" t="s">
        <v>1273</v>
      </c>
      <c r="AC81" s="5">
        <f>AC39-AC68</f>
        <v>14425</v>
      </c>
      <c r="AD81" s="5">
        <f>AD39-AD68</f>
        <v>15465</v>
      </c>
      <c r="AE81" s="5">
        <f>AD81-AC81</f>
        <v>1040</v>
      </c>
      <c r="AG81" s="5">
        <f>MAX(AC81,AD81)</f>
        <v>15465</v>
      </c>
      <c r="AH81" s="5">
        <f>MAX(AG81,0)+$AH$82</f>
        <v>18350</v>
      </c>
      <c r="AI81" t="str">
        <f>"Difference:"&amp;CHAR(10)&amp;TEXT(AE81,"+#,##0;-#,##0;0")&amp;" units"</f>
        <v>Difference:
+1,040 units</v>
      </c>
    </row>
    <row r="82" spans="28:35" ht="13.9" customHeight="1">
      <c r="AG82" s="59" t="s">
        <v>2682</v>
      </c>
      <c r="AH82" s="109">
        <f>0.2*MAX(AB78:AC81)</f>
        <v>2885</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Bellingham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Bellingham count of households by income and race, 2019</v>
      </c>
      <c r="AA6" s="126" t="s">
        <v>2703</v>
      </c>
      <c r="AB6" s="360" t="str">
        <f>County_label</f>
        <v>Whatcom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180</v>
      </c>
      <c r="D14" s="182">
        <f t="shared" si="0"/>
        <v>435</v>
      </c>
      <c r="E14" s="182">
        <f t="shared" si="0"/>
        <v>150</v>
      </c>
      <c r="F14" s="182">
        <f t="shared" si="0"/>
        <v>850</v>
      </c>
      <c r="G14" s="182">
        <f t="shared" si="0"/>
        <v>19</v>
      </c>
      <c r="H14" s="182">
        <f t="shared" si="0"/>
        <v>5285</v>
      </c>
      <c r="I14" s="230">
        <f>J14-SUM(C14:H14)</f>
        <v>336</v>
      </c>
      <c r="J14" s="182">
        <f>AI101</f>
        <v>7255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115</v>
      </c>
      <c r="D15" s="182">
        <f t="shared" si="0"/>
        <v>215</v>
      </c>
      <c r="E15" s="182">
        <f t="shared" si="0"/>
        <v>25</v>
      </c>
      <c r="F15" s="182">
        <f t="shared" si="0"/>
        <v>385</v>
      </c>
      <c r="G15" s="182">
        <f t="shared" si="0"/>
        <v>35</v>
      </c>
      <c r="H15" s="182">
        <f t="shared" si="0"/>
        <v>3755</v>
      </c>
      <c r="I15" s="230">
        <f t="shared" ref="I15:I18" si="1">J15-SUM(C15:H15)</f>
        <v>220</v>
      </c>
      <c r="J15" s="182">
        <f>AI102</f>
        <v>4750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55</v>
      </c>
      <c r="D16" s="182">
        <f t="shared" si="0"/>
        <v>135</v>
      </c>
      <c r="E16" s="182">
        <f t="shared" si="0"/>
        <v>20</v>
      </c>
      <c r="F16" s="182">
        <f t="shared" si="0"/>
        <v>470</v>
      </c>
      <c r="G16" s="182">
        <f t="shared" si="0"/>
        <v>0</v>
      </c>
      <c r="H16" s="182">
        <f t="shared" si="0"/>
        <v>6040</v>
      </c>
      <c r="I16" s="230">
        <f t="shared" si="1"/>
        <v>185</v>
      </c>
      <c r="J16" s="182">
        <f>AI103</f>
        <v>6905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25</v>
      </c>
      <c r="D17" s="182">
        <f t="shared" si="0"/>
        <v>230</v>
      </c>
      <c r="E17" s="182">
        <f t="shared" si="0"/>
        <v>100</v>
      </c>
      <c r="F17" s="182">
        <f t="shared" si="0"/>
        <v>230</v>
      </c>
      <c r="G17" s="182">
        <f t="shared" si="0"/>
        <v>0</v>
      </c>
      <c r="H17" s="182">
        <f t="shared" si="0"/>
        <v>3665</v>
      </c>
      <c r="I17" s="230">
        <f t="shared" si="1"/>
        <v>50</v>
      </c>
      <c r="J17" s="182">
        <f>AI104</f>
        <v>4300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50</v>
      </c>
      <c r="D18" s="207">
        <f t="shared" si="0"/>
        <v>610</v>
      </c>
      <c r="E18" s="207">
        <f t="shared" si="0"/>
        <v>85</v>
      </c>
      <c r="F18" s="207">
        <f t="shared" si="0"/>
        <v>495</v>
      </c>
      <c r="G18" s="207">
        <f t="shared" si="0"/>
        <v>15</v>
      </c>
      <c r="H18" s="207">
        <f t="shared" si="0"/>
        <v>12175</v>
      </c>
      <c r="I18" s="231">
        <f t="shared" si="1"/>
        <v>230</v>
      </c>
      <c r="J18" s="207">
        <f>AI105</f>
        <v>13660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425</v>
      </c>
      <c r="D19" s="228">
        <f t="shared" ref="D19:I19" si="2">SUM(D14:D18)</f>
        <v>1625</v>
      </c>
      <c r="E19" s="228">
        <f t="shared" si="2"/>
        <v>380</v>
      </c>
      <c r="F19" s="228">
        <f t="shared" si="2"/>
        <v>2430</v>
      </c>
      <c r="G19" s="228">
        <f t="shared" si="2"/>
        <v>69</v>
      </c>
      <c r="H19" s="228">
        <f t="shared" si="2"/>
        <v>30920</v>
      </c>
      <c r="I19" s="232">
        <f t="shared" si="2"/>
        <v>1021</v>
      </c>
      <c r="J19" s="228">
        <f>AI49+AI94</f>
        <v>36865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2.4810475534114404E-2</v>
      </c>
      <c r="D22" s="180">
        <f t="shared" si="3"/>
        <v>5.9958649207443142E-2</v>
      </c>
      <c r="E22" s="180">
        <f t="shared" si="3"/>
        <v>2.0675396278428671E-2</v>
      </c>
      <c r="F22" s="180">
        <f t="shared" si="3"/>
        <v>0.1171605789110958</v>
      </c>
      <c r="G22" s="180">
        <f t="shared" si="3"/>
        <v>2.6188835286009649E-3</v>
      </c>
      <c r="H22" s="180">
        <f t="shared" si="3"/>
        <v>0.72846312887663678</v>
      </c>
      <c r="I22" s="180">
        <f t="shared" si="3"/>
        <v>4.6312887663680219E-2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2.4210526315789474E-2</v>
      </c>
      <c r="D23" s="180">
        <f t="shared" si="3"/>
        <v>4.5263157894736845E-2</v>
      </c>
      <c r="E23" s="180">
        <f t="shared" si="3"/>
        <v>5.263157894736842E-3</v>
      </c>
      <c r="F23" s="180">
        <f t="shared" si="3"/>
        <v>8.1052631578947362E-2</v>
      </c>
      <c r="G23" s="180">
        <f t="shared" si="3"/>
        <v>7.3684210526315788E-3</v>
      </c>
      <c r="H23" s="180">
        <f t="shared" si="3"/>
        <v>0.79052631578947363</v>
      </c>
      <c r="I23" s="180">
        <f t="shared" si="3"/>
        <v>4.6315789473684213E-2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7.965242577842143E-3</v>
      </c>
      <c r="D24" s="180">
        <f t="shared" si="3"/>
        <v>1.9551049963794351E-2</v>
      </c>
      <c r="E24" s="180">
        <f t="shared" si="3"/>
        <v>2.8964518464880519E-3</v>
      </c>
      <c r="F24" s="180">
        <f t="shared" si="3"/>
        <v>6.8066618392469219E-2</v>
      </c>
      <c r="G24" s="180">
        <f t="shared" si="3"/>
        <v>0</v>
      </c>
      <c r="H24" s="180">
        <f t="shared" si="3"/>
        <v>0.87472845763939178</v>
      </c>
      <c r="I24" s="180">
        <f t="shared" si="3"/>
        <v>2.6792179580014484E-2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5.8139534883720929E-3</v>
      </c>
      <c r="D25" s="180">
        <f t="shared" si="3"/>
        <v>5.3488372093023255E-2</v>
      </c>
      <c r="E25" s="180">
        <f t="shared" si="3"/>
        <v>2.3255813953488372E-2</v>
      </c>
      <c r="F25" s="180">
        <f t="shared" si="3"/>
        <v>5.3488372093023255E-2</v>
      </c>
      <c r="G25" s="180">
        <f t="shared" si="3"/>
        <v>0</v>
      </c>
      <c r="H25" s="180">
        <f t="shared" si="3"/>
        <v>0.85232558139534886</v>
      </c>
      <c r="I25" s="180">
        <f t="shared" si="3"/>
        <v>1.1627906976744186E-2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3.6603221083455345E-3</v>
      </c>
      <c r="D26" s="181">
        <f t="shared" si="3"/>
        <v>4.4655929721815521E-2</v>
      </c>
      <c r="E26" s="181">
        <f t="shared" si="3"/>
        <v>6.2225475841874087E-3</v>
      </c>
      <c r="F26" s="181">
        <f t="shared" si="3"/>
        <v>3.6237188872620792E-2</v>
      </c>
      <c r="G26" s="181">
        <f t="shared" si="3"/>
        <v>1.0980966325036604E-3</v>
      </c>
      <c r="H26" s="181">
        <f t="shared" si="3"/>
        <v>0.89128843338213759</v>
      </c>
      <c r="I26" s="181">
        <f t="shared" si="3"/>
        <v>1.6837481698389459E-2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Bellingham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90</v>
      </c>
      <c r="AC33" s="174">
        <v>0</v>
      </c>
      <c r="AD33" s="174">
        <v>65</v>
      </c>
      <c r="AE33" s="174">
        <v>0</v>
      </c>
      <c r="AF33" s="174">
        <v>45</v>
      </c>
      <c r="AG33" s="174">
        <v>770</v>
      </c>
      <c r="AH33" s="174"/>
      <c r="AI33" s="174">
        <v>970</v>
      </c>
      <c r="AJ33" s="86">
        <f>(SUM(AB33:AH33))-AI33</f>
        <v>0</v>
      </c>
      <c r="AL33" s="31" t="s">
        <v>2762</v>
      </c>
      <c r="AM33" s="174">
        <v>60</v>
      </c>
      <c r="AN33" s="174">
        <v>0</v>
      </c>
      <c r="AO33" s="174">
        <v>15</v>
      </c>
      <c r="AP33" s="174">
        <v>15</v>
      </c>
      <c r="AQ33" s="174">
        <v>0</v>
      </c>
      <c r="AR33" s="174">
        <v>560</v>
      </c>
      <c r="AS33" s="174">
        <v>4</v>
      </c>
      <c r="AT33" s="174">
        <v>655</v>
      </c>
      <c r="AU33" s="86">
        <f t="shared" ref="AU33:AU47" si="4">(SUM(AM33:AS33))-AT33</f>
        <v>-1</v>
      </c>
      <c r="AV33" s="86"/>
      <c r="BE33" s="19"/>
      <c r="BF33" s="19"/>
      <c r="BG33" s="19"/>
      <c r="BH33" s="19"/>
    </row>
    <row r="34" spans="27:60" ht="17.25" customHeight="1">
      <c r="AB34" s="174">
        <v>20</v>
      </c>
      <c r="AC34" s="174">
        <v>0</v>
      </c>
      <c r="AD34" s="174">
        <v>10</v>
      </c>
      <c r="AE34" s="174">
        <v>15</v>
      </c>
      <c r="AF34" s="174">
        <v>20</v>
      </c>
      <c r="AG34" s="174">
        <v>220</v>
      </c>
      <c r="AH34" s="174"/>
      <c r="AI34" s="174">
        <v>285</v>
      </c>
      <c r="AJ34" s="86">
        <f>(SUM(AB34:AH34))-AI34</f>
        <v>0</v>
      </c>
      <c r="AM34" s="174">
        <v>0</v>
      </c>
      <c r="AN34" s="174">
        <v>0</v>
      </c>
      <c r="AO34" s="174">
        <v>0</v>
      </c>
      <c r="AP34" s="174">
        <v>0</v>
      </c>
      <c r="AQ34" s="174">
        <v>4</v>
      </c>
      <c r="AR34" s="174">
        <v>70</v>
      </c>
      <c r="AS34" s="174">
        <v>0</v>
      </c>
      <c r="AT34" s="174">
        <v>70</v>
      </c>
      <c r="AU34" s="86">
        <f t="shared" si="4"/>
        <v>4</v>
      </c>
      <c r="AV34" s="86"/>
      <c r="BC34" s="25"/>
      <c r="BD34" s="19"/>
      <c r="BE34" s="19"/>
      <c r="BF34" s="19"/>
      <c r="BG34" s="19"/>
      <c r="BH34" s="19"/>
    </row>
    <row r="35" spans="27:60" ht="13.9" customHeight="1">
      <c r="AB35" s="174"/>
      <c r="AC35" s="174"/>
      <c r="AD35" s="174"/>
      <c r="AE35" s="174"/>
      <c r="AF35" s="174"/>
      <c r="AG35" s="174"/>
      <c r="AH35" s="174"/>
      <c r="AI35" s="174"/>
      <c r="AJ35" s="86"/>
      <c r="AM35" s="174">
        <v>55</v>
      </c>
      <c r="AN35" s="174">
        <v>0</v>
      </c>
      <c r="AO35" s="174">
        <v>30</v>
      </c>
      <c r="AP35" s="174">
        <v>0</v>
      </c>
      <c r="AQ35" s="174">
        <v>0</v>
      </c>
      <c r="AR35" s="174">
        <v>55</v>
      </c>
      <c r="AS35" s="174">
        <v>0</v>
      </c>
      <c r="AT35" s="174">
        <v>145</v>
      </c>
      <c r="AU35" s="86">
        <f t="shared" si="4"/>
        <v>-5</v>
      </c>
      <c r="AV35" s="86"/>
      <c r="BC35" s="25"/>
      <c r="BD35" s="19"/>
      <c r="BE35" s="19"/>
      <c r="BF35" s="19"/>
      <c r="BG35" s="19"/>
      <c r="BH35" s="19"/>
    </row>
    <row r="36" spans="27:60" ht="13.9" customHeight="1">
      <c r="AA36" s="60" t="s">
        <v>1977</v>
      </c>
      <c r="AB36" s="174">
        <v>15</v>
      </c>
      <c r="AC36" s="174">
        <v>0</v>
      </c>
      <c r="AD36" s="174">
        <v>65</v>
      </c>
      <c r="AE36" s="174">
        <v>0</v>
      </c>
      <c r="AF36" s="174">
        <v>20</v>
      </c>
      <c r="AG36" s="174">
        <v>620</v>
      </c>
      <c r="AH36" s="174"/>
      <c r="AI36" s="174">
        <v>730</v>
      </c>
      <c r="AJ36" s="86">
        <f>(SUM(AB36:AH36))-AI36</f>
        <v>-10</v>
      </c>
      <c r="AL36" s="60" t="s">
        <v>1977</v>
      </c>
      <c r="AM36" s="174">
        <v>20</v>
      </c>
      <c r="AN36" s="174">
        <v>0</v>
      </c>
      <c r="AO36" s="174">
        <v>70</v>
      </c>
      <c r="AP36" s="174">
        <v>0</v>
      </c>
      <c r="AQ36" s="174">
        <v>0</v>
      </c>
      <c r="AR36" s="174">
        <v>680</v>
      </c>
      <c r="AS36" s="174">
        <v>0</v>
      </c>
      <c r="AT36" s="174">
        <v>770</v>
      </c>
      <c r="AU36" s="86">
        <f t="shared" si="4"/>
        <v>0</v>
      </c>
      <c r="AV36" s="86"/>
      <c r="BC36" s="25"/>
      <c r="BD36" s="19"/>
      <c r="BE36" s="19"/>
      <c r="BF36" s="19"/>
      <c r="BG36" s="19"/>
      <c r="BH36" s="19"/>
    </row>
    <row r="37" spans="27:60" ht="13.9" customHeight="1">
      <c r="AB37" s="174">
        <v>0</v>
      </c>
      <c r="AC37" s="174">
        <v>0</v>
      </c>
      <c r="AD37" s="174">
        <v>65</v>
      </c>
      <c r="AE37" s="174">
        <v>0</v>
      </c>
      <c r="AF37" s="174">
        <v>0</v>
      </c>
      <c r="AG37" s="174">
        <v>510</v>
      </c>
      <c r="AH37" s="174"/>
      <c r="AI37" s="174">
        <v>575</v>
      </c>
      <c r="AJ37" s="86">
        <f>(SUM(AB37:AH37))-AI37</f>
        <v>0</v>
      </c>
      <c r="AM37" s="174">
        <v>15</v>
      </c>
      <c r="AN37" s="174">
        <v>0</v>
      </c>
      <c r="AO37" s="174">
        <v>0</v>
      </c>
      <c r="AP37" s="174">
        <v>0</v>
      </c>
      <c r="AQ37" s="174">
        <v>0</v>
      </c>
      <c r="AR37" s="174">
        <v>515</v>
      </c>
      <c r="AS37" s="174">
        <v>0</v>
      </c>
      <c r="AT37" s="174">
        <v>530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100</v>
      </c>
      <c r="AC39" s="174">
        <v>0</v>
      </c>
      <c r="AD39" s="174">
        <v>30</v>
      </c>
      <c r="AE39" s="174">
        <v>0</v>
      </c>
      <c r="AF39" s="174">
        <v>0</v>
      </c>
      <c r="AG39" s="174">
        <v>840</v>
      </c>
      <c r="AH39" s="174"/>
      <c r="AI39" s="174">
        <v>1000</v>
      </c>
      <c r="AJ39" s="86">
        <f>(SUM(AB39:AH39))-AI39</f>
        <v>-30</v>
      </c>
      <c r="AL39" s="60" t="s">
        <v>1978</v>
      </c>
      <c r="AM39" s="174">
        <v>0</v>
      </c>
      <c r="AN39" s="174">
        <v>0</v>
      </c>
      <c r="AO39" s="174">
        <v>0</v>
      </c>
      <c r="AP39" s="174">
        <v>0</v>
      </c>
      <c r="AQ39" s="174">
        <v>10</v>
      </c>
      <c r="AR39" s="174">
        <v>1040</v>
      </c>
      <c r="AS39" s="174">
        <v>45</v>
      </c>
      <c r="AT39" s="174">
        <v>1095</v>
      </c>
      <c r="AU39" s="86">
        <f t="shared" si="4"/>
        <v>0</v>
      </c>
      <c r="AV39" s="86"/>
      <c r="BC39" s="25"/>
      <c r="BD39" s="19"/>
      <c r="BE39" s="19"/>
      <c r="BF39" s="19"/>
      <c r="BG39" s="19"/>
      <c r="BH39" s="19"/>
    </row>
    <row r="40" spans="27:60" ht="13.9" customHeight="1">
      <c r="AB40" s="174">
        <v>35</v>
      </c>
      <c r="AC40" s="174">
        <v>20</v>
      </c>
      <c r="AD40" s="174">
        <v>20</v>
      </c>
      <c r="AE40" s="174">
        <v>0</v>
      </c>
      <c r="AF40" s="174">
        <v>10</v>
      </c>
      <c r="AG40" s="174">
        <v>1275</v>
      </c>
      <c r="AH40" s="174"/>
      <c r="AI40" s="174">
        <v>1365</v>
      </c>
      <c r="AJ40" s="86">
        <f>(SUM(AB40:AH40))-AI40</f>
        <v>-5</v>
      </c>
      <c r="AM40" s="174">
        <v>50</v>
      </c>
      <c r="AN40" s="174">
        <v>0</v>
      </c>
      <c r="AO40" s="174">
        <v>10</v>
      </c>
      <c r="AP40" s="174">
        <v>0</v>
      </c>
      <c r="AQ40" s="174">
        <v>0</v>
      </c>
      <c r="AR40" s="174">
        <v>775</v>
      </c>
      <c r="AS40" s="174">
        <v>0</v>
      </c>
      <c r="AT40" s="174">
        <v>835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30</v>
      </c>
      <c r="AE42" s="174">
        <v>0</v>
      </c>
      <c r="AF42" s="174">
        <v>0</v>
      </c>
      <c r="AG42" s="174">
        <v>410</v>
      </c>
      <c r="AH42" s="174"/>
      <c r="AI42" s="174">
        <v>445</v>
      </c>
      <c r="AJ42" s="86">
        <f>(SUM(AB42:AH42))-AI42</f>
        <v>-5</v>
      </c>
      <c r="AL42" s="60" t="s">
        <v>1979</v>
      </c>
      <c r="AM42" s="174">
        <v>30</v>
      </c>
      <c r="AN42" s="174">
        <v>0</v>
      </c>
      <c r="AO42" s="174">
        <v>4</v>
      </c>
      <c r="AP42" s="174">
        <v>0</v>
      </c>
      <c r="AQ42" s="174">
        <v>10</v>
      </c>
      <c r="AR42" s="174">
        <v>555</v>
      </c>
      <c r="AS42" s="174">
        <v>0</v>
      </c>
      <c r="AT42" s="174">
        <v>600</v>
      </c>
      <c r="AU42" s="86">
        <f t="shared" si="4"/>
        <v>-1</v>
      </c>
      <c r="AV42" s="86"/>
      <c r="AZ42" s="19"/>
      <c r="BA42" s="19"/>
      <c r="BB42" s="19"/>
      <c r="BC42" s="19"/>
      <c r="BD42" s="19"/>
    </row>
    <row r="43" spans="27:60" ht="13.9" customHeight="1">
      <c r="AB43" s="174">
        <v>45</v>
      </c>
      <c r="AC43" s="174">
        <v>15</v>
      </c>
      <c r="AD43" s="174">
        <v>100</v>
      </c>
      <c r="AE43" s="174">
        <v>0</v>
      </c>
      <c r="AF43" s="174">
        <v>25</v>
      </c>
      <c r="AG43" s="174">
        <v>1475</v>
      </c>
      <c r="AH43" s="174"/>
      <c r="AI43" s="174">
        <v>1665</v>
      </c>
      <c r="AJ43" s="86">
        <f>(SUM(AB43:AH43))-AI43</f>
        <v>-5</v>
      </c>
      <c r="AM43" s="174">
        <v>35</v>
      </c>
      <c r="AN43" s="174">
        <v>0</v>
      </c>
      <c r="AO43" s="174">
        <v>65</v>
      </c>
      <c r="AP43" s="174">
        <v>0</v>
      </c>
      <c r="AQ43" s="174">
        <v>25</v>
      </c>
      <c r="AR43" s="174">
        <v>730</v>
      </c>
      <c r="AS43" s="174">
        <v>0</v>
      </c>
      <c r="AT43" s="174">
        <v>850</v>
      </c>
      <c r="AU43" s="86">
        <f t="shared" si="4"/>
        <v>5</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30</v>
      </c>
      <c r="AC45" s="174">
        <v>0</v>
      </c>
      <c r="AD45" s="174">
        <v>25</v>
      </c>
      <c r="AE45" s="174">
        <v>0</v>
      </c>
      <c r="AF45" s="174">
        <v>0</v>
      </c>
      <c r="AG45" s="174">
        <v>660</v>
      </c>
      <c r="AH45" s="174"/>
      <c r="AI45" s="174">
        <v>765</v>
      </c>
      <c r="AJ45" s="86">
        <f>(SUM(AB45:AH45))-AI45</f>
        <v>-50</v>
      </c>
      <c r="AL45" s="60" t="s">
        <v>1897</v>
      </c>
      <c r="AM45" s="174">
        <v>95</v>
      </c>
      <c r="AN45" s="174">
        <v>0</v>
      </c>
      <c r="AO45" s="174">
        <v>45</v>
      </c>
      <c r="AP45" s="174">
        <v>0</v>
      </c>
      <c r="AQ45" s="174">
        <v>10</v>
      </c>
      <c r="AR45" s="174">
        <v>1305</v>
      </c>
      <c r="AS45" s="174">
        <v>0</v>
      </c>
      <c r="AT45" s="174">
        <v>1460</v>
      </c>
      <c r="AU45" s="86">
        <f t="shared" si="4"/>
        <v>-5</v>
      </c>
      <c r="AV45" s="86"/>
      <c r="AZ45" s="19"/>
      <c r="BA45" s="19"/>
      <c r="BB45" s="19"/>
      <c r="BC45" s="19"/>
      <c r="BD45" s="19"/>
    </row>
    <row r="46" spans="27:60" ht="18" customHeight="1">
      <c r="AA46" s="60"/>
      <c r="AB46" s="174">
        <v>220</v>
      </c>
      <c r="AC46" s="174">
        <v>10</v>
      </c>
      <c r="AD46" s="174">
        <v>300</v>
      </c>
      <c r="AE46" s="174">
        <v>15</v>
      </c>
      <c r="AF46" s="174">
        <v>30</v>
      </c>
      <c r="AG46" s="174">
        <v>8240</v>
      </c>
      <c r="AH46" s="174"/>
      <c r="AI46" s="174">
        <v>8925</v>
      </c>
      <c r="AJ46" s="86">
        <f>(SUM(AB46:AH46))-AI46</f>
        <v>-110</v>
      </c>
      <c r="AM46" s="174">
        <v>135</v>
      </c>
      <c r="AN46" s="174">
        <v>60</v>
      </c>
      <c r="AO46" s="174">
        <v>360</v>
      </c>
      <c r="AP46" s="174">
        <v>10</v>
      </c>
      <c r="AQ46" s="174">
        <v>15</v>
      </c>
      <c r="AR46" s="174">
        <v>7755</v>
      </c>
      <c r="AS46" s="174">
        <v>110</v>
      </c>
      <c r="AT46" s="174">
        <v>8445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555</v>
      </c>
      <c r="AC48" s="86">
        <f t="shared" ref="AC48:AH48" si="5">SUM(AC33:AC47)</f>
        <v>45</v>
      </c>
      <c r="AD48" s="86">
        <f t="shared" si="5"/>
        <v>710</v>
      </c>
      <c r="AE48" s="86">
        <f t="shared" si="5"/>
        <v>30</v>
      </c>
      <c r="AF48" s="86">
        <f t="shared" si="5"/>
        <v>150</v>
      </c>
      <c r="AG48" s="86">
        <f t="shared" si="5"/>
        <v>15020</v>
      </c>
      <c r="AH48" s="86">
        <f t="shared" si="5"/>
        <v>0</v>
      </c>
      <c r="AI48" s="86">
        <f t="shared" ref="AI48" si="6">SUM(AI33:AI47)</f>
        <v>16725</v>
      </c>
      <c r="AJ48" s="86"/>
      <c r="AZ48" s="19"/>
      <c r="BA48" s="19"/>
      <c r="BB48" s="19"/>
      <c r="BC48" s="19"/>
      <c r="BD48" s="19"/>
    </row>
    <row r="49" spans="2:56" ht="13.9" customHeight="1">
      <c r="AA49" s="171" t="s">
        <v>2786</v>
      </c>
      <c r="AI49" s="227">
        <v>16720</v>
      </c>
      <c r="AJ49" s="86">
        <f>SUM(AJ33:AJ46)</f>
        <v>-215</v>
      </c>
      <c r="AL49" s="171" t="s">
        <v>2774</v>
      </c>
      <c r="AT49" s="174">
        <v>15460</v>
      </c>
      <c r="AU49" s="86">
        <f>SUM(AU33:AU47)</f>
        <v>-3</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110</v>
      </c>
      <c r="AC51" s="86">
        <f t="shared" ref="AC51:AI51" si="7">SUM(AC33:AC35)</f>
        <v>0</v>
      </c>
      <c r="AD51" s="86">
        <f t="shared" si="7"/>
        <v>75</v>
      </c>
      <c r="AE51" s="86">
        <f t="shared" si="7"/>
        <v>15</v>
      </c>
      <c r="AF51" s="86">
        <f t="shared" si="7"/>
        <v>65</v>
      </c>
      <c r="AG51" s="86">
        <f t="shared" si="7"/>
        <v>990</v>
      </c>
      <c r="AH51" s="86">
        <f t="shared" si="7"/>
        <v>0</v>
      </c>
      <c r="AI51" s="86">
        <f t="shared" si="7"/>
        <v>1255</v>
      </c>
      <c r="AL51" s="60" t="s">
        <v>1983</v>
      </c>
      <c r="AM51" s="86">
        <f>SUM(AM33:AM35)</f>
        <v>115</v>
      </c>
      <c r="AN51" s="86">
        <f t="shared" ref="AN51:AT51" si="8">SUM(AN33:AN35)</f>
        <v>0</v>
      </c>
      <c r="AO51" s="86">
        <f t="shared" si="8"/>
        <v>45</v>
      </c>
      <c r="AP51" s="86">
        <f t="shared" si="8"/>
        <v>15</v>
      </c>
      <c r="AQ51" s="86">
        <f t="shared" si="8"/>
        <v>4</v>
      </c>
      <c r="AR51" s="86">
        <f t="shared" si="8"/>
        <v>685</v>
      </c>
      <c r="AS51" s="5">
        <f t="shared" si="8"/>
        <v>4</v>
      </c>
      <c r="AT51" s="86">
        <f t="shared" si="8"/>
        <v>870</v>
      </c>
      <c r="AZ51" s="19"/>
      <c r="BA51" s="19"/>
      <c r="BB51" s="19"/>
      <c r="BC51" s="19"/>
      <c r="BD51" s="19"/>
    </row>
    <row r="52" spans="2:56" ht="16.5" customHeight="1">
      <c r="AA52" s="60" t="s">
        <v>1977</v>
      </c>
      <c r="AB52" s="86">
        <f>SUM(AB36:AB38)</f>
        <v>15</v>
      </c>
      <c r="AC52" s="86">
        <f t="shared" ref="AC52:AI52" si="9">SUM(AC36:AC38)</f>
        <v>0</v>
      </c>
      <c r="AD52" s="86">
        <f t="shared" si="9"/>
        <v>130</v>
      </c>
      <c r="AE52" s="86">
        <f t="shared" si="9"/>
        <v>0</v>
      </c>
      <c r="AF52" s="86">
        <f t="shared" si="9"/>
        <v>20</v>
      </c>
      <c r="AG52" s="86">
        <f t="shared" si="9"/>
        <v>1130</v>
      </c>
      <c r="AH52" s="86">
        <f t="shared" si="9"/>
        <v>0</v>
      </c>
      <c r="AI52" s="86">
        <f t="shared" si="9"/>
        <v>1305</v>
      </c>
      <c r="AL52" s="60" t="s">
        <v>1977</v>
      </c>
      <c r="AM52" s="86">
        <f t="shared" ref="AM52:AR52" si="10">SUM(AM36:AM38)</f>
        <v>35</v>
      </c>
      <c r="AN52" s="86">
        <f t="shared" si="10"/>
        <v>0</v>
      </c>
      <c r="AO52" s="86">
        <f t="shared" si="10"/>
        <v>70</v>
      </c>
      <c r="AP52" s="86">
        <f t="shared" si="10"/>
        <v>0</v>
      </c>
      <c r="AQ52" s="86">
        <f t="shared" si="10"/>
        <v>0</v>
      </c>
      <c r="AR52" s="86">
        <f t="shared" si="10"/>
        <v>1195</v>
      </c>
      <c r="AS52" s="5">
        <f>SUM(AS36:AS38)</f>
        <v>0</v>
      </c>
      <c r="AT52" s="86">
        <f>SUM(AT36:AT38)</f>
        <v>1300</v>
      </c>
      <c r="AZ52" s="19"/>
      <c r="BA52" s="19"/>
      <c r="BB52" s="19"/>
      <c r="BC52" s="19"/>
      <c r="BD52" s="19"/>
    </row>
    <row r="53" spans="2:56" ht="16.5" customHeight="1">
      <c r="B53" s="345" t="s">
        <v>2764</v>
      </c>
      <c r="C53" s="345"/>
      <c r="D53" s="345"/>
      <c r="E53" s="345"/>
      <c r="F53" s="345"/>
      <c r="G53" s="345"/>
      <c r="H53" s="345"/>
      <c r="I53" s="345"/>
      <c r="AA53" s="60" t="s">
        <v>1978</v>
      </c>
      <c r="AB53" s="86">
        <f>SUM(AB39:AB41)</f>
        <v>135</v>
      </c>
      <c r="AC53" s="86">
        <f t="shared" ref="AC53:AI53" si="11">SUM(AC39:AC41)</f>
        <v>20</v>
      </c>
      <c r="AD53" s="86">
        <f t="shared" si="11"/>
        <v>50</v>
      </c>
      <c r="AE53" s="86">
        <f t="shared" si="11"/>
        <v>0</v>
      </c>
      <c r="AF53" s="86">
        <f t="shared" si="11"/>
        <v>10</v>
      </c>
      <c r="AG53" s="86">
        <f t="shared" si="11"/>
        <v>2115</v>
      </c>
      <c r="AH53" s="86">
        <f t="shared" si="11"/>
        <v>0</v>
      </c>
      <c r="AI53" s="86">
        <f t="shared" si="11"/>
        <v>2365</v>
      </c>
      <c r="AL53" s="60" t="s">
        <v>1978</v>
      </c>
      <c r="AM53" s="86">
        <f t="shared" ref="AM53:AR53" si="12">SUM(AM39:AM41)</f>
        <v>50</v>
      </c>
      <c r="AN53" s="86">
        <f t="shared" si="12"/>
        <v>0</v>
      </c>
      <c r="AO53" s="86">
        <f t="shared" si="12"/>
        <v>10</v>
      </c>
      <c r="AP53" s="86">
        <f t="shared" si="12"/>
        <v>0</v>
      </c>
      <c r="AQ53" s="86">
        <f t="shared" si="12"/>
        <v>10</v>
      </c>
      <c r="AR53" s="86">
        <f t="shared" si="12"/>
        <v>1815</v>
      </c>
      <c r="AS53" s="5">
        <f>SUM(AS39:AS41)</f>
        <v>45</v>
      </c>
      <c r="AT53" s="86">
        <f>SUM(AT39:AT41)</f>
        <v>1930</v>
      </c>
      <c r="AZ53" s="19"/>
      <c r="BA53" s="19"/>
      <c r="BB53" s="19"/>
      <c r="BC53" s="19"/>
      <c r="BD53" s="19"/>
    </row>
    <row r="54" spans="2:56" ht="16.5" customHeight="1">
      <c r="AA54" s="60" t="s">
        <v>1979</v>
      </c>
      <c r="AB54" s="86">
        <f>SUM(AB42:AB44)</f>
        <v>45</v>
      </c>
      <c r="AC54" s="86">
        <f t="shared" ref="AC54:AI54" si="13">SUM(AC42:AC44)</f>
        <v>15</v>
      </c>
      <c r="AD54" s="86">
        <f t="shared" si="13"/>
        <v>130</v>
      </c>
      <c r="AE54" s="86">
        <f t="shared" si="13"/>
        <v>0</v>
      </c>
      <c r="AF54" s="86">
        <f t="shared" si="13"/>
        <v>25</v>
      </c>
      <c r="AG54" s="86">
        <f t="shared" si="13"/>
        <v>1885</v>
      </c>
      <c r="AH54" s="86">
        <f t="shared" si="13"/>
        <v>0</v>
      </c>
      <c r="AI54" s="86">
        <f t="shared" si="13"/>
        <v>2110</v>
      </c>
      <c r="AL54" s="60" t="s">
        <v>1979</v>
      </c>
      <c r="AM54" s="86">
        <f t="shared" ref="AM54:AR54" si="14">SUM(AM42:AM44)</f>
        <v>65</v>
      </c>
      <c r="AN54" s="86">
        <f t="shared" si="14"/>
        <v>0</v>
      </c>
      <c r="AO54" s="86">
        <f t="shared" si="14"/>
        <v>69</v>
      </c>
      <c r="AP54" s="86">
        <f t="shared" si="14"/>
        <v>0</v>
      </c>
      <c r="AQ54" s="86">
        <f t="shared" si="14"/>
        <v>35</v>
      </c>
      <c r="AR54" s="86">
        <f t="shared" si="14"/>
        <v>1285</v>
      </c>
      <c r="AS54" s="5">
        <f>SUM(AS42:AS44)</f>
        <v>0</v>
      </c>
      <c r="AT54" s="86">
        <f>SUM(AT42:AT44)</f>
        <v>1450</v>
      </c>
      <c r="AZ54" s="19"/>
      <c r="BA54" s="19"/>
      <c r="BB54" s="19"/>
      <c r="BC54" s="19"/>
      <c r="BD54" s="19"/>
    </row>
    <row r="55" spans="2:56" ht="16.5" customHeight="1">
      <c r="B55" s="342" t="str">
        <f>"Chart 13a. "&amp;City_label&amp;" number of households by income category and race, 2019"</f>
        <v>Chart 13a. Bellingham number of households by income category and race, 2019</v>
      </c>
      <c r="C55" s="342"/>
      <c r="D55" s="342"/>
      <c r="E55" s="342"/>
      <c r="F55" s="342"/>
      <c r="G55" s="342"/>
      <c r="H55" s="342"/>
      <c r="I55" s="342"/>
      <c r="U55" s="19"/>
      <c r="W55" s="25"/>
      <c r="X55" s="19"/>
      <c r="AA55" s="60" t="s">
        <v>1897</v>
      </c>
      <c r="AB55" s="86">
        <f>SUM(AB45:AB47)</f>
        <v>250</v>
      </c>
      <c r="AC55" s="86">
        <f t="shared" ref="AC55:AI55" si="15">SUM(AC45:AC47)</f>
        <v>10</v>
      </c>
      <c r="AD55" s="86">
        <f t="shared" si="15"/>
        <v>325</v>
      </c>
      <c r="AE55" s="86">
        <f t="shared" si="15"/>
        <v>15</v>
      </c>
      <c r="AF55" s="86">
        <f t="shared" si="15"/>
        <v>30</v>
      </c>
      <c r="AG55" s="86">
        <f t="shared" si="15"/>
        <v>8900</v>
      </c>
      <c r="AH55" s="86">
        <f t="shared" si="15"/>
        <v>0</v>
      </c>
      <c r="AI55" s="86">
        <f t="shared" si="15"/>
        <v>9690</v>
      </c>
      <c r="AL55" s="60" t="s">
        <v>1897</v>
      </c>
      <c r="AM55" s="86">
        <f t="shared" ref="AM55:AR55" si="16">SUM(AM45:AM47)</f>
        <v>230</v>
      </c>
      <c r="AN55" s="86">
        <f t="shared" si="16"/>
        <v>60</v>
      </c>
      <c r="AO55" s="86">
        <f t="shared" si="16"/>
        <v>405</v>
      </c>
      <c r="AP55" s="86">
        <f t="shared" si="16"/>
        <v>10</v>
      </c>
      <c r="AQ55" s="86">
        <f t="shared" si="16"/>
        <v>25</v>
      </c>
      <c r="AR55" s="86">
        <f t="shared" si="16"/>
        <v>9060</v>
      </c>
      <c r="AS55" s="5">
        <f>SUM(AS45:AS47)</f>
        <v>110</v>
      </c>
      <c r="AT55" s="86">
        <f>SUM(AT45:AT47)</f>
        <v>9905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555</v>
      </c>
      <c r="AC56" s="128">
        <f t="shared" ref="AC56:AI56" si="17">SUM(AC51:AC55)</f>
        <v>45</v>
      </c>
      <c r="AD56" s="128">
        <f t="shared" si="17"/>
        <v>710</v>
      </c>
      <c r="AE56" s="128">
        <f t="shared" si="17"/>
        <v>30</v>
      </c>
      <c r="AF56" s="128">
        <f t="shared" si="17"/>
        <v>150</v>
      </c>
      <c r="AG56" s="128">
        <f t="shared" si="17"/>
        <v>15020</v>
      </c>
      <c r="AH56" s="128">
        <f t="shared" si="17"/>
        <v>0</v>
      </c>
      <c r="AI56" s="128">
        <f t="shared" si="17"/>
        <v>16725</v>
      </c>
      <c r="AJ56" s="86"/>
      <c r="AL56" s="163" t="s">
        <v>2841</v>
      </c>
      <c r="AM56" s="128">
        <f t="shared" ref="AM56:AT56" si="18">SUM(AM51:AM55)</f>
        <v>495</v>
      </c>
      <c r="AN56" s="128">
        <f t="shared" si="18"/>
        <v>60</v>
      </c>
      <c r="AO56" s="128">
        <f t="shared" si="18"/>
        <v>599</v>
      </c>
      <c r="AP56" s="128">
        <f t="shared" si="18"/>
        <v>25</v>
      </c>
      <c r="AQ56" s="128">
        <f t="shared" si="18"/>
        <v>74</v>
      </c>
      <c r="AR56" s="128">
        <f t="shared" si="18"/>
        <v>14040</v>
      </c>
      <c r="AS56" s="246">
        <f>SUM(AS51:AS55)</f>
        <v>159</v>
      </c>
      <c r="AT56" s="128">
        <f t="shared" si="18"/>
        <v>15455</v>
      </c>
      <c r="AU56" s="86">
        <f>(SUM(AM56:AS56))-AT56</f>
        <v>-3</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630</v>
      </c>
      <c r="AC76" s="174">
        <v>135</v>
      </c>
      <c r="AD76" s="174">
        <v>260</v>
      </c>
      <c r="AE76" s="174">
        <v>4</v>
      </c>
      <c r="AF76" s="174">
        <v>90</v>
      </c>
      <c r="AG76" s="174">
        <v>3755</v>
      </c>
      <c r="AH76" s="174"/>
      <c r="AI76" s="174">
        <v>5175</v>
      </c>
      <c r="AJ76" s="86">
        <f t="shared" ref="AJ76:AJ85" si="19">(SUM(AB76:AG76))-AI76</f>
        <v>-301</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110</v>
      </c>
      <c r="AC77" s="174">
        <v>15</v>
      </c>
      <c r="AD77" s="174">
        <v>100</v>
      </c>
      <c r="AE77" s="174">
        <v>0</v>
      </c>
      <c r="AF77" s="174">
        <v>25</v>
      </c>
      <c r="AG77" s="174">
        <v>540</v>
      </c>
      <c r="AH77" s="174"/>
      <c r="AI77" s="174">
        <v>825</v>
      </c>
      <c r="AJ77" s="86">
        <f t="shared" si="19"/>
        <v>-35</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Bellingham distribution of households by income and race or ethnicity, 2019</v>
      </c>
      <c r="C78" s="342"/>
      <c r="D78" s="342"/>
      <c r="E78" s="342"/>
      <c r="F78" s="342"/>
      <c r="G78" s="342"/>
      <c r="H78" s="342"/>
      <c r="I78" s="342"/>
      <c r="J78" s="342"/>
      <c r="U78" s="19"/>
      <c r="W78" s="25"/>
      <c r="X78" s="19"/>
      <c r="AA78" s="60" t="s">
        <v>1977</v>
      </c>
      <c r="AB78" s="174">
        <v>330</v>
      </c>
      <c r="AC78" s="174">
        <v>0</v>
      </c>
      <c r="AD78" s="174">
        <v>85</v>
      </c>
      <c r="AE78" s="174">
        <v>35</v>
      </c>
      <c r="AF78" s="174">
        <v>50</v>
      </c>
      <c r="AG78" s="174">
        <v>2275</v>
      </c>
      <c r="AH78" s="174"/>
      <c r="AI78" s="174">
        <v>2970</v>
      </c>
      <c r="AJ78" s="86">
        <f t="shared" si="19"/>
        <v>-195</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40</v>
      </c>
      <c r="AC79" s="174">
        <v>25</v>
      </c>
      <c r="AD79" s="174">
        <v>0</v>
      </c>
      <c r="AE79" s="174">
        <v>0</v>
      </c>
      <c r="AF79" s="174">
        <v>45</v>
      </c>
      <c r="AG79" s="174">
        <v>350</v>
      </c>
      <c r="AH79" s="174"/>
      <c r="AI79" s="174">
        <v>475</v>
      </c>
      <c r="AJ79" s="86">
        <f t="shared" si="19"/>
        <v>-15</v>
      </c>
      <c r="AZ79" s="19"/>
      <c r="BA79" s="19"/>
      <c r="BB79" s="19"/>
      <c r="BC79" s="19"/>
      <c r="BD79" s="19"/>
    </row>
    <row r="80" spans="2:56" ht="16.5" customHeight="1">
      <c r="U80" s="19"/>
      <c r="W80" s="25"/>
      <c r="X80" s="19"/>
      <c r="AA80" s="60" t="s">
        <v>1978</v>
      </c>
      <c r="AB80" s="174">
        <v>215</v>
      </c>
      <c r="AC80" s="174">
        <v>0</v>
      </c>
      <c r="AD80" s="174">
        <v>60</v>
      </c>
      <c r="AE80" s="174">
        <v>0</v>
      </c>
      <c r="AF80" s="174">
        <v>35</v>
      </c>
      <c r="AG80" s="174">
        <v>2090</v>
      </c>
      <c r="AH80" s="174"/>
      <c r="AI80" s="174">
        <v>2535</v>
      </c>
      <c r="AJ80" s="86">
        <f t="shared" si="19"/>
        <v>-135</v>
      </c>
      <c r="AL80" s="60" t="s">
        <v>2762</v>
      </c>
      <c r="AM80" s="174">
        <v>375</v>
      </c>
      <c r="AN80" s="174">
        <v>50</v>
      </c>
      <c r="AO80" s="174">
        <v>175</v>
      </c>
      <c r="AP80" s="174">
        <v>10</v>
      </c>
      <c r="AQ80" s="174">
        <v>105</v>
      </c>
      <c r="AR80" s="174">
        <v>3515</v>
      </c>
      <c r="AS80" s="174">
        <v>340</v>
      </c>
      <c r="AT80" s="174">
        <v>4425</v>
      </c>
      <c r="AU80" s="86">
        <f t="shared" ref="AU80:AU94" si="20">(SUM(AM80:AS80))-AT80</f>
        <v>145</v>
      </c>
      <c r="AV80" s="86"/>
      <c r="AZ80" s="19"/>
      <c r="BA80" s="19"/>
      <c r="BB80" s="19"/>
      <c r="BC80" s="19"/>
      <c r="BD80" s="19"/>
    </row>
    <row r="81" spans="21:56" ht="16.5" customHeight="1">
      <c r="U81" s="19"/>
      <c r="W81" s="25"/>
      <c r="X81" s="19"/>
      <c r="AB81" s="174">
        <v>120</v>
      </c>
      <c r="AC81" s="174">
        <v>0</v>
      </c>
      <c r="AD81" s="174">
        <v>25</v>
      </c>
      <c r="AE81" s="174">
        <v>0</v>
      </c>
      <c r="AF81" s="174">
        <v>10</v>
      </c>
      <c r="AG81" s="174">
        <v>1835</v>
      </c>
      <c r="AH81" s="174"/>
      <c r="AI81" s="174">
        <v>2005</v>
      </c>
      <c r="AJ81" s="86">
        <f t="shared" si="19"/>
        <v>-15</v>
      </c>
      <c r="AM81" s="174">
        <v>10</v>
      </c>
      <c r="AN81" s="174">
        <v>65</v>
      </c>
      <c r="AO81" s="174">
        <v>55</v>
      </c>
      <c r="AP81" s="174">
        <v>0</v>
      </c>
      <c r="AQ81" s="174">
        <v>45</v>
      </c>
      <c r="AR81" s="174">
        <v>265</v>
      </c>
      <c r="AS81" s="174">
        <v>0</v>
      </c>
      <c r="AT81" s="174">
        <v>460</v>
      </c>
      <c r="AU81" s="86">
        <f t="shared" si="20"/>
        <v>-20</v>
      </c>
      <c r="AV81" s="86"/>
      <c r="AZ81" s="19"/>
      <c r="BA81" s="19"/>
      <c r="BB81" s="19"/>
      <c r="BC81" s="19"/>
      <c r="BD81" s="19"/>
    </row>
    <row r="82" spans="21:56" ht="16.5" customHeight="1">
      <c r="U82" s="19"/>
      <c r="W82" s="25"/>
      <c r="X82" s="19"/>
      <c r="AA82" s="60" t="s">
        <v>1979</v>
      </c>
      <c r="AB82" s="174">
        <v>60</v>
      </c>
      <c r="AC82" s="174">
        <v>50</v>
      </c>
      <c r="AD82" s="174">
        <v>10</v>
      </c>
      <c r="AE82" s="174">
        <v>0</v>
      </c>
      <c r="AF82" s="174">
        <v>0</v>
      </c>
      <c r="AG82" s="174">
        <v>340</v>
      </c>
      <c r="AH82" s="174"/>
      <c r="AI82" s="174">
        <v>460</v>
      </c>
      <c r="AJ82" s="86">
        <f t="shared" si="19"/>
        <v>0</v>
      </c>
      <c r="AM82" s="174">
        <v>35</v>
      </c>
      <c r="AN82" s="174">
        <v>35</v>
      </c>
      <c r="AO82" s="174">
        <v>0</v>
      </c>
      <c r="AP82" s="174">
        <v>0</v>
      </c>
      <c r="AQ82" s="174">
        <v>0</v>
      </c>
      <c r="AR82" s="174">
        <v>230</v>
      </c>
      <c r="AS82" s="174">
        <v>0</v>
      </c>
      <c r="AT82" s="174">
        <v>295</v>
      </c>
      <c r="AU82" s="86">
        <f t="shared" si="20"/>
        <v>5</v>
      </c>
      <c r="AV82" s="86"/>
      <c r="AZ82" s="19"/>
      <c r="BA82" s="19"/>
      <c r="BB82" s="19"/>
      <c r="BC82" s="19"/>
      <c r="BD82" s="19"/>
    </row>
    <row r="83" spans="21:56" ht="16.5" customHeight="1">
      <c r="U83" s="19"/>
      <c r="W83" s="25"/>
      <c r="X83" s="19"/>
      <c r="AB83" s="174">
        <v>125</v>
      </c>
      <c r="AC83" s="174">
        <v>35</v>
      </c>
      <c r="AD83" s="174">
        <v>90</v>
      </c>
      <c r="AE83" s="174">
        <v>0</v>
      </c>
      <c r="AF83" s="174">
        <v>0</v>
      </c>
      <c r="AG83" s="174">
        <v>1440</v>
      </c>
      <c r="AH83" s="174"/>
      <c r="AI83" s="174">
        <v>1730</v>
      </c>
      <c r="AJ83" s="86">
        <f t="shared" si="19"/>
        <v>-40</v>
      </c>
      <c r="AL83" s="60" t="s">
        <v>1977</v>
      </c>
      <c r="AM83" s="174">
        <v>120</v>
      </c>
      <c r="AN83" s="174">
        <v>25</v>
      </c>
      <c r="AO83" s="174">
        <v>25</v>
      </c>
      <c r="AP83" s="174">
        <v>0</v>
      </c>
      <c r="AQ83" s="174">
        <v>80</v>
      </c>
      <c r="AR83" s="174">
        <v>2350</v>
      </c>
      <c r="AS83" s="174">
        <v>95</v>
      </c>
      <c r="AT83" s="174">
        <v>2935</v>
      </c>
      <c r="AU83" s="86">
        <f t="shared" si="20"/>
        <v>-240</v>
      </c>
      <c r="AV83" s="86"/>
      <c r="AZ83" s="19"/>
      <c r="BA83" s="19"/>
      <c r="BB83" s="19"/>
      <c r="BC83" s="19"/>
      <c r="BD83" s="19"/>
    </row>
    <row r="84" spans="21:56" ht="16.5" customHeight="1">
      <c r="U84" s="19"/>
      <c r="W84" s="25"/>
      <c r="X84" s="19"/>
      <c r="AA84" s="60" t="s">
        <v>1897</v>
      </c>
      <c r="AB84" s="174">
        <v>20</v>
      </c>
      <c r="AC84" s="174">
        <v>0</v>
      </c>
      <c r="AD84" s="174">
        <v>40</v>
      </c>
      <c r="AE84" s="174">
        <v>0</v>
      </c>
      <c r="AF84" s="174">
        <v>0</v>
      </c>
      <c r="AG84" s="174">
        <v>345</v>
      </c>
      <c r="AH84" s="174"/>
      <c r="AI84" s="174">
        <v>405</v>
      </c>
      <c r="AJ84" s="86">
        <f t="shared" si="19"/>
        <v>0</v>
      </c>
      <c r="AM84" s="174">
        <v>0</v>
      </c>
      <c r="AN84" s="174">
        <v>10</v>
      </c>
      <c r="AO84" s="174">
        <v>35</v>
      </c>
      <c r="AP84" s="174">
        <v>0</v>
      </c>
      <c r="AQ84" s="174">
        <v>15</v>
      </c>
      <c r="AR84" s="174">
        <v>395</v>
      </c>
      <c r="AS84" s="174">
        <v>0</v>
      </c>
      <c r="AT84" s="174">
        <v>455</v>
      </c>
      <c r="AU84" s="86">
        <f t="shared" si="20"/>
        <v>0</v>
      </c>
      <c r="AV84" s="86"/>
      <c r="AZ84" s="19"/>
      <c r="BA84" s="19"/>
      <c r="BB84" s="19"/>
      <c r="BC84" s="19"/>
      <c r="BD84" s="19"/>
    </row>
    <row r="85" spans="21:56" ht="11.25" customHeight="1">
      <c r="U85" s="19"/>
      <c r="W85" s="25"/>
      <c r="X85" s="19"/>
      <c r="AB85" s="174">
        <v>225</v>
      </c>
      <c r="AC85" s="174">
        <v>75</v>
      </c>
      <c r="AD85" s="174">
        <v>245</v>
      </c>
      <c r="AE85" s="174">
        <v>0</v>
      </c>
      <c r="AF85" s="174">
        <v>20</v>
      </c>
      <c r="AG85" s="174">
        <v>2930</v>
      </c>
      <c r="AH85" s="174"/>
      <c r="AI85" s="174">
        <v>3565</v>
      </c>
      <c r="AJ85" s="86">
        <f t="shared" si="19"/>
        <v>-70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305</v>
      </c>
      <c r="AN86" s="174">
        <v>4</v>
      </c>
      <c r="AO86" s="174">
        <v>15</v>
      </c>
      <c r="AP86" s="174">
        <v>0</v>
      </c>
      <c r="AQ86" s="174">
        <v>60</v>
      </c>
      <c r="AR86" s="174">
        <v>1940</v>
      </c>
      <c r="AS86" s="174">
        <v>0</v>
      </c>
      <c r="AT86" s="174">
        <v>2425</v>
      </c>
      <c r="AU86" s="86">
        <f t="shared" si="20"/>
        <v>-101</v>
      </c>
      <c r="AV86" s="86"/>
      <c r="AZ86" s="19"/>
      <c r="BA86" s="19"/>
      <c r="BB86" s="19"/>
      <c r="BC86" s="19"/>
      <c r="BD86" s="19"/>
    </row>
    <row r="87" spans="21:56" ht="13.9" customHeight="1">
      <c r="U87" s="19"/>
      <c r="W87" s="25"/>
      <c r="X87" s="19"/>
      <c r="AA87" s="175" t="s">
        <v>2788</v>
      </c>
      <c r="AB87" s="86"/>
      <c r="AC87" s="86"/>
      <c r="AD87" s="86"/>
      <c r="AE87" s="86"/>
      <c r="AF87" s="86"/>
      <c r="AG87" s="86"/>
      <c r="AH87" s="86"/>
      <c r="AI87" s="174">
        <v>20145</v>
      </c>
      <c r="AJ87" s="86">
        <f>SUM(AJ76:AJ85)</f>
        <v>-806</v>
      </c>
      <c r="AM87" s="174">
        <v>200</v>
      </c>
      <c r="AN87" s="174">
        <v>15</v>
      </c>
      <c r="AO87" s="174">
        <v>115</v>
      </c>
      <c r="AP87" s="174">
        <v>0</v>
      </c>
      <c r="AQ87" s="174">
        <v>65</v>
      </c>
      <c r="AR87" s="174">
        <v>1275</v>
      </c>
      <c r="AS87" s="174">
        <v>40</v>
      </c>
      <c r="AT87" s="174">
        <v>1670</v>
      </c>
      <c r="AU87" s="86">
        <f t="shared" si="20"/>
        <v>40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740</v>
      </c>
      <c r="AC89" s="86">
        <f t="shared" si="21"/>
        <v>150</v>
      </c>
      <c r="AD89" s="86">
        <f t="shared" si="21"/>
        <v>360</v>
      </c>
      <c r="AE89" s="86">
        <f t="shared" si="21"/>
        <v>4</v>
      </c>
      <c r="AF89" s="86">
        <f t="shared" si="21"/>
        <v>115</v>
      </c>
      <c r="AG89" s="86">
        <f t="shared" si="21"/>
        <v>4295</v>
      </c>
      <c r="AH89" s="86"/>
      <c r="AI89" s="86">
        <f>SUM(AI76:AI77)</f>
        <v>6000</v>
      </c>
      <c r="AL89" s="60" t="s">
        <v>1979</v>
      </c>
      <c r="AM89" s="174">
        <v>40</v>
      </c>
      <c r="AN89" s="174">
        <v>0</v>
      </c>
      <c r="AO89" s="174">
        <v>0</v>
      </c>
      <c r="AP89" s="174">
        <v>0</v>
      </c>
      <c r="AQ89" s="174">
        <v>0</v>
      </c>
      <c r="AR89" s="174">
        <v>210</v>
      </c>
      <c r="AS89" s="174">
        <v>0</v>
      </c>
      <c r="AT89" s="174">
        <v>250</v>
      </c>
      <c r="AU89" s="86">
        <f t="shared" si="20"/>
        <v>0</v>
      </c>
      <c r="AV89" s="86"/>
      <c r="AZ89" s="19"/>
      <c r="BA89" s="19"/>
      <c r="BB89" s="19"/>
      <c r="BC89" s="19"/>
      <c r="BD89" s="19"/>
    </row>
    <row r="90" spans="21:56" ht="18" customHeight="1">
      <c r="AA90" s="60" t="s">
        <v>1977</v>
      </c>
      <c r="AB90" s="86">
        <f t="shared" ref="AB90:AG90" si="22">SUM(AB78:AB79)</f>
        <v>370</v>
      </c>
      <c r="AC90" s="86">
        <f t="shared" si="22"/>
        <v>25</v>
      </c>
      <c r="AD90" s="86">
        <f t="shared" si="22"/>
        <v>85</v>
      </c>
      <c r="AE90" s="86">
        <f t="shared" si="22"/>
        <v>35</v>
      </c>
      <c r="AF90" s="86">
        <f t="shared" si="22"/>
        <v>95</v>
      </c>
      <c r="AG90" s="86">
        <f t="shared" si="22"/>
        <v>2625</v>
      </c>
      <c r="AH90" s="86"/>
      <c r="AI90" s="86">
        <f>SUM(AI78:AI79)</f>
        <v>3445</v>
      </c>
      <c r="AM90" s="174">
        <v>15</v>
      </c>
      <c r="AN90" s="174">
        <v>0</v>
      </c>
      <c r="AO90" s="174">
        <v>55</v>
      </c>
      <c r="AP90" s="174">
        <v>0</v>
      </c>
      <c r="AQ90" s="174">
        <v>55</v>
      </c>
      <c r="AR90" s="174">
        <v>920</v>
      </c>
      <c r="AS90" s="174">
        <v>40</v>
      </c>
      <c r="AT90" s="174">
        <v>1090</v>
      </c>
      <c r="AU90" s="86">
        <f t="shared" si="20"/>
        <v>-5</v>
      </c>
      <c r="AV90" s="86"/>
      <c r="AZ90" s="19"/>
      <c r="BA90" s="19"/>
      <c r="BB90" s="19"/>
      <c r="BC90" s="19"/>
      <c r="BD90" s="19"/>
    </row>
    <row r="91" spans="21:56" ht="18" customHeight="1">
      <c r="AA91" s="60" t="s">
        <v>1978</v>
      </c>
      <c r="AB91" s="86">
        <f t="shared" ref="AB91:AG91" si="23">SUM(AB80:AB81)</f>
        <v>335</v>
      </c>
      <c r="AC91" s="86">
        <f t="shared" si="23"/>
        <v>0</v>
      </c>
      <c r="AD91" s="86">
        <f t="shared" si="23"/>
        <v>85</v>
      </c>
      <c r="AE91" s="86">
        <f t="shared" si="23"/>
        <v>0</v>
      </c>
      <c r="AF91" s="86">
        <f t="shared" si="23"/>
        <v>45</v>
      </c>
      <c r="AG91" s="86">
        <f t="shared" si="23"/>
        <v>3925</v>
      </c>
      <c r="AH91" s="86"/>
      <c r="AI91" s="86">
        <f>SUM(AI80:AI81)</f>
        <v>4540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185</v>
      </c>
      <c r="AC92" s="86">
        <f t="shared" si="24"/>
        <v>85</v>
      </c>
      <c r="AD92" s="86">
        <f t="shared" si="24"/>
        <v>100</v>
      </c>
      <c r="AE92" s="86">
        <f t="shared" si="24"/>
        <v>0</v>
      </c>
      <c r="AF92" s="86">
        <f t="shared" si="24"/>
        <v>0</v>
      </c>
      <c r="AG92" s="86">
        <f t="shared" si="24"/>
        <v>1780</v>
      </c>
      <c r="AH92" s="86"/>
      <c r="AI92" s="86">
        <f>SUM(AI82:AI83)</f>
        <v>2190</v>
      </c>
      <c r="AL92" s="60" t="s">
        <v>1897</v>
      </c>
      <c r="AM92" s="174">
        <v>30</v>
      </c>
      <c r="AN92" s="174">
        <v>15</v>
      </c>
      <c r="AO92" s="174">
        <v>15</v>
      </c>
      <c r="AP92" s="174">
        <v>0</v>
      </c>
      <c r="AQ92" s="174">
        <v>0</v>
      </c>
      <c r="AR92" s="174">
        <v>260</v>
      </c>
      <c r="AS92" s="174">
        <v>10</v>
      </c>
      <c r="AT92" s="174">
        <v>330</v>
      </c>
      <c r="AU92" s="86">
        <f t="shared" si="20"/>
        <v>0</v>
      </c>
      <c r="AV92" s="86"/>
      <c r="AZ92" s="19"/>
      <c r="BA92" s="19"/>
      <c r="BB92" s="19"/>
      <c r="BC92" s="19"/>
      <c r="BD92" s="19"/>
    </row>
    <row r="93" spans="21:56" ht="18" customHeight="1">
      <c r="AA93" s="60" t="s">
        <v>1897</v>
      </c>
      <c r="AB93" s="86">
        <f t="shared" ref="AB93:AG93" si="25">SUM(AB84:AB85)</f>
        <v>245</v>
      </c>
      <c r="AC93" s="86">
        <f t="shared" si="25"/>
        <v>75</v>
      </c>
      <c r="AD93" s="86">
        <f t="shared" si="25"/>
        <v>285</v>
      </c>
      <c r="AE93" s="86">
        <f t="shared" si="25"/>
        <v>0</v>
      </c>
      <c r="AF93" s="86">
        <f t="shared" si="25"/>
        <v>20</v>
      </c>
      <c r="AG93" s="86">
        <f t="shared" si="25"/>
        <v>3275</v>
      </c>
      <c r="AH93" s="86"/>
      <c r="AI93" s="86">
        <f>SUM(AI84:AI85)</f>
        <v>3970</v>
      </c>
      <c r="AM93" s="174">
        <v>215</v>
      </c>
      <c r="AN93" s="174">
        <v>0</v>
      </c>
      <c r="AO93" s="174">
        <v>135</v>
      </c>
      <c r="AP93" s="174">
        <v>0</v>
      </c>
      <c r="AQ93" s="174">
        <v>40</v>
      </c>
      <c r="AR93" s="174">
        <v>3525</v>
      </c>
      <c r="AS93" s="174">
        <v>130</v>
      </c>
      <c r="AT93" s="174">
        <v>4050</v>
      </c>
      <c r="AU93" s="86">
        <f t="shared" si="20"/>
        <v>-5</v>
      </c>
      <c r="AV93" s="86"/>
      <c r="AZ93" s="19"/>
      <c r="BA93" s="19"/>
      <c r="BB93" s="19"/>
      <c r="BC93" s="19"/>
      <c r="BD93" s="19"/>
    </row>
    <row r="94" spans="21:56" ht="18" customHeight="1">
      <c r="AA94" s="163" t="s">
        <v>2841</v>
      </c>
      <c r="AB94" s="128">
        <f t="shared" ref="AB94:AG94" si="26">SUM(AB89:AB93)</f>
        <v>1875</v>
      </c>
      <c r="AC94" s="128">
        <f t="shared" si="26"/>
        <v>335</v>
      </c>
      <c r="AD94" s="128">
        <f t="shared" si="26"/>
        <v>915</v>
      </c>
      <c r="AE94" s="128">
        <f t="shared" si="26"/>
        <v>39</v>
      </c>
      <c r="AF94" s="128">
        <f t="shared" si="26"/>
        <v>275</v>
      </c>
      <c r="AG94" s="128">
        <f t="shared" si="26"/>
        <v>15900</v>
      </c>
      <c r="AH94" s="128"/>
      <c r="AI94" s="128">
        <f>SUM(AI89:AI93)</f>
        <v>20145</v>
      </c>
      <c r="AJ94" s="86">
        <f>(SUM(AB94:AG94))-AI94</f>
        <v>-806</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18385</v>
      </c>
      <c r="AU96" s="86">
        <f>SUM(AU80:AU94)</f>
        <v>-181</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420</v>
      </c>
      <c r="AN98" s="86">
        <f t="shared" si="27"/>
        <v>150</v>
      </c>
      <c r="AO98" s="86">
        <f t="shared" si="27"/>
        <v>230</v>
      </c>
      <c r="AP98" s="86">
        <f t="shared" si="27"/>
        <v>10</v>
      </c>
      <c r="AQ98" s="86">
        <f t="shared" si="27"/>
        <v>150</v>
      </c>
      <c r="AR98" s="86">
        <f t="shared" si="27"/>
        <v>4010</v>
      </c>
      <c r="AS98" s="86">
        <f>AT98-SUM(AM98:AR98)</f>
        <v>210</v>
      </c>
      <c r="AT98" s="86">
        <f>SUM(AT80:AT82)</f>
        <v>5180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120</v>
      </c>
      <c r="AN99" s="86">
        <f t="shared" si="28"/>
        <v>35</v>
      </c>
      <c r="AO99" s="86">
        <f t="shared" si="28"/>
        <v>60</v>
      </c>
      <c r="AP99" s="86">
        <f t="shared" si="28"/>
        <v>0</v>
      </c>
      <c r="AQ99" s="86">
        <f t="shared" si="28"/>
        <v>95</v>
      </c>
      <c r="AR99" s="86">
        <f t="shared" si="28"/>
        <v>2745</v>
      </c>
      <c r="AS99" s="86">
        <f t="shared" ref="AS99:AS102" si="29">AT99-SUM(AM99:AR99)</f>
        <v>335</v>
      </c>
      <c r="AT99" s="86">
        <f>SUM(AT83:AT85)</f>
        <v>3390</v>
      </c>
      <c r="AZ99" s="19"/>
      <c r="BA99" s="19"/>
      <c r="BB99" s="19"/>
      <c r="BC99" s="19"/>
      <c r="BD99" s="19"/>
    </row>
    <row r="100" spans="2:56" ht="18" customHeight="1">
      <c r="B100" s="342" t="str">
        <f>"Chart 14a. "&amp;City_label&amp;" distribution of households by income and race or ethnicity, 2019"</f>
        <v>Chart 14a. Bellingham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505</v>
      </c>
      <c r="AN100" s="86">
        <f t="shared" si="30"/>
        <v>19</v>
      </c>
      <c r="AO100" s="86">
        <f t="shared" si="30"/>
        <v>130</v>
      </c>
      <c r="AP100" s="86">
        <f t="shared" si="30"/>
        <v>0</v>
      </c>
      <c r="AQ100" s="86">
        <f t="shared" si="30"/>
        <v>125</v>
      </c>
      <c r="AR100" s="86">
        <f t="shared" si="30"/>
        <v>3215</v>
      </c>
      <c r="AS100" s="86">
        <f t="shared" si="29"/>
        <v>101</v>
      </c>
      <c r="AT100" s="86">
        <f>SUM(AT86:AT88)</f>
        <v>4095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180</v>
      </c>
      <c r="AC101" s="147">
        <f>SUM(AD51,AD89)</f>
        <v>435</v>
      </c>
      <c r="AD101" s="147">
        <f>SUM(AC51,AC89)</f>
        <v>150</v>
      </c>
      <c r="AE101" s="147">
        <f>SUM(AB51,AB89)</f>
        <v>850</v>
      </c>
      <c r="AF101" s="147">
        <f>SUM(AE51,AE89)</f>
        <v>19</v>
      </c>
      <c r="AG101" s="147">
        <f>SUM(AG51,AG89)</f>
        <v>5285</v>
      </c>
      <c r="AH101" s="244">
        <f t="shared" ref="AH101:AH105" si="31">AI101-SUM(AB101:AG101)</f>
        <v>336</v>
      </c>
      <c r="AI101" s="147">
        <f t="shared" ref="AI101:AI106" si="32">SUM(AI51,AI89)</f>
        <v>7255</v>
      </c>
      <c r="AJ101" s="86"/>
      <c r="AL101" s="60" t="s">
        <v>1979</v>
      </c>
      <c r="AM101" s="86">
        <f t="shared" ref="AM101:AR101" si="33">SUM(AM89:AM91)</f>
        <v>55</v>
      </c>
      <c r="AN101" s="86">
        <f t="shared" si="33"/>
        <v>0</v>
      </c>
      <c r="AO101" s="86">
        <f t="shared" si="33"/>
        <v>55</v>
      </c>
      <c r="AP101" s="86">
        <f t="shared" si="33"/>
        <v>0</v>
      </c>
      <c r="AQ101" s="86">
        <f t="shared" si="33"/>
        <v>55</v>
      </c>
      <c r="AR101" s="86">
        <f t="shared" si="33"/>
        <v>1130</v>
      </c>
      <c r="AS101" s="86">
        <f t="shared" si="29"/>
        <v>45</v>
      </c>
      <c r="AT101" s="86">
        <f>SUM(AT89:AT91)</f>
        <v>1340</v>
      </c>
      <c r="AZ101" s="19"/>
      <c r="BA101" s="19"/>
      <c r="BB101" s="19"/>
      <c r="BC101" s="19"/>
      <c r="BD101" s="19"/>
    </row>
    <row r="102" spans="2:56" ht="18" customHeight="1">
      <c r="AA102" s="60" t="s">
        <v>1977</v>
      </c>
      <c r="AB102" s="147">
        <f t="shared" ref="AB102:AB105" si="34">SUM(AF52,AF90)</f>
        <v>115</v>
      </c>
      <c r="AC102" s="147">
        <f t="shared" ref="AC102:AC105" si="35">SUM(AD52,AD90)</f>
        <v>215</v>
      </c>
      <c r="AD102" s="147">
        <f t="shared" ref="AD102:AD105" si="36">SUM(AC52,AC90)</f>
        <v>25</v>
      </c>
      <c r="AE102" s="147">
        <f t="shared" ref="AE102:AE105" si="37">SUM(AB52,AB90)</f>
        <v>385</v>
      </c>
      <c r="AF102" s="147">
        <f t="shared" ref="AF102:AF105" si="38">SUM(AE52,AE90)</f>
        <v>35</v>
      </c>
      <c r="AG102" s="147">
        <f t="shared" ref="AG102:AG105" si="39">SUM(AG52,AG90)</f>
        <v>3755</v>
      </c>
      <c r="AH102" s="244">
        <f t="shared" si="31"/>
        <v>220</v>
      </c>
      <c r="AI102" s="147">
        <f t="shared" si="32"/>
        <v>4750</v>
      </c>
      <c r="AJ102" s="86"/>
      <c r="AL102" s="60" t="s">
        <v>1897</v>
      </c>
      <c r="AM102" s="86">
        <f t="shared" ref="AM102:AR102" si="40">SUM(AM92:AM94)</f>
        <v>245</v>
      </c>
      <c r="AN102" s="86">
        <f t="shared" si="40"/>
        <v>15</v>
      </c>
      <c r="AO102" s="86">
        <f t="shared" si="40"/>
        <v>150</v>
      </c>
      <c r="AP102" s="86">
        <f t="shared" si="40"/>
        <v>0</v>
      </c>
      <c r="AQ102" s="86">
        <f t="shared" si="40"/>
        <v>40</v>
      </c>
      <c r="AR102" s="86">
        <f t="shared" si="40"/>
        <v>3785</v>
      </c>
      <c r="AS102" s="86">
        <f t="shared" si="29"/>
        <v>145</v>
      </c>
      <c r="AT102" s="86">
        <f>SUM(AT92:AT94)</f>
        <v>4380</v>
      </c>
      <c r="AZ102" s="19"/>
      <c r="BA102" s="19"/>
      <c r="BB102" s="19"/>
      <c r="BC102" s="19"/>
      <c r="BD102" s="19"/>
    </row>
    <row r="103" spans="2:56" ht="18" customHeight="1">
      <c r="AA103" s="60" t="s">
        <v>1978</v>
      </c>
      <c r="AB103" s="147">
        <f t="shared" si="34"/>
        <v>55</v>
      </c>
      <c r="AC103" s="147">
        <f t="shared" si="35"/>
        <v>135</v>
      </c>
      <c r="AD103" s="147">
        <f t="shared" si="36"/>
        <v>20</v>
      </c>
      <c r="AE103" s="147">
        <f t="shared" si="37"/>
        <v>470</v>
      </c>
      <c r="AF103" s="147">
        <f t="shared" si="38"/>
        <v>0</v>
      </c>
      <c r="AG103" s="147">
        <f t="shared" si="39"/>
        <v>6040</v>
      </c>
      <c r="AH103" s="244">
        <f t="shared" si="31"/>
        <v>185</v>
      </c>
      <c r="AI103" s="147">
        <f t="shared" si="32"/>
        <v>6905</v>
      </c>
      <c r="AJ103" s="86"/>
      <c r="AL103" s="163" t="s">
        <v>2841</v>
      </c>
      <c r="AM103" s="128">
        <f t="shared" ref="AM103:AT103" si="41">SUM(AM98:AM102)</f>
        <v>1345</v>
      </c>
      <c r="AN103" s="128">
        <f t="shared" si="41"/>
        <v>219</v>
      </c>
      <c r="AO103" s="128">
        <f t="shared" si="41"/>
        <v>625</v>
      </c>
      <c r="AP103" s="128">
        <f t="shared" si="41"/>
        <v>10</v>
      </c>
      <c r="AQ103" s="128">
        <f t="shared" si="41"/>
        <v>465</v>
      </c>
      <c r="AR103" s="128">
        <f t="shared" si="41"/>
        <v>14885</v>
      </c>
      <c r="AS103" s="128">
        <f t="shared" si="41"/>
        <v>836</v>
      </c>
      <c r="AT103" s="128">
        <f t="shared" si="41"/>
        <v>18385</v>
      </c>
      <c r="AU103" s="86">
        <f>(SUM(AM103:AS103))-AT103</f>
        <v>0</v>
      </c>
      <c r="AZ103" s="19"/>
      <c r="BA103" s="19"/>
      <c r="BB103" s="19"/>
      <c r="BC103" s="19"/>
      <c r="BD103" s="19"/>
    </row>
    <row r="104" spans="2:56" ht="18" customHeight="1">
      <c r="Z104" s="90"/>
      <c r="AA104" s="60" t="s">
        <v>1979</v>
      </c>
      <c r="AB104" s="147">
        <f t="shared" si="34"/>
        <v>25</v>
      </c>
      <c r="AC104" s="147">
        <f t="shared" si="35"/>
        <v>230</v>
      </c>
      <c r="AD104" s="147">
        <f t="shared" si="36"/>
        <v>100</v>
      </c>
      <c r="AE104" s="147">
        <f t="shared" si="37"/>
        <v>230</v>
      </c>
      <c r="AF104" s="147">
        <f t="shared" si="38"/>
        <v>0</v>
      </c>
      <c r="AG104" s="147">
        <f t="shared" si="39"/>
        <v>3665</v>
      </c>
      <c r="AH104" s="244">
        <f t="shared" si="31"/>
        <v>50</v>
      </c>
      <c r="AI104" s="147">
        <f t="shared" si="32"/>
        <v>4300</v>
      </c>
      <c r="AJ104" s="86"/>
      <c r="AL104" s="169"/>
      <c r="AZ104" s="19"/>
      <c r="BA104" s="19"/>
      <c r="BB104" s="19"/>
      <c r="BC104" s="19"/>
    </row>
    <row r="105" spans="2:56" ht="18" customHeight="1">
      <c r="Z105" s="90"/>
      <c r="AA105" s="60" t="s">
        <v>1897</v>
      </c>
      <c r="AB105" s="147">
        <f t="shared" si="34"/>
        <v>50</v>
      </c>
      <c r="AC105" s="147">
        <f t="shared" si="35"/>
        <v>610</v>
      </c>
      <c r="AD105" s="147">
        <f t="shared" si="36"/>
        <v>85</v>
      </c>
      <c r="AE105" s="147">
        <f t="shared" si="37"/>
        <v>495</v>
      </c>
      <c r="AF105" s="147">
        <f t="shared" si="38"/>
        <v>15</v>
      </c>
      <c r="AG105" s="147">
        <f t="shared" si="39"/>
        <v>12175</v>
      </c>
      <c r="AH105" s="244">
        <f t="shared" si="31"/>
        <v>230</v>
      </c>
      <c r="AI105" s="147">
        <f t="shared" si="32"/>
        <v>13660</v>
      </c>
      <c r="AJ105" s="86"/>
      <c r="AZ105" s="19"/>
      <c r="BA105" s="19"/>
      <c r="BB105" s="19"/>
      <c r="BC105" s="19"/>
    </row>
    <row r="106" spans="2:56" ht="18" customHeight="1">
      <c r="Z106" s="90"/>
      <c r="AA106" s="127" t="s">
        <v>3</v>
      </c>
      <c r="AB106" s="177">
        <f>SUM(AF56,AF94)</f>
        <v>425</v>
      </c>
      <c r="AC106" s="177">
        <f>SUM(AD56,AD94)</f>
        <v>1625</v>
      </c>
      <c r="AD106" s="177">
        <f>SUM(AC56,AC94)</f>
        <v>380</v>
      </c>
      <c r="AE106" s="177">
        <f>SUM(AB56,AB94)</f>
        <v>2430</v>
      </c>
      <c r="AF106" s="177">
        <f>SUM(AE56,AE94)</f>
        <v>69</v>
      </c>
      <c r="AG106" s="177">
        <f>SUM(AG56,AG94)</f>
        <v>30920</v>
      </c>
      <c r="AH106" s="114">
        <f>SUM(AH101:AH105)</f>
        <v>1021</v>
      </c>
      <c r="AI106" s="177">
        <f t="shared" si="32"/>
        <v>36870</v>
      </c>
      <c r="AJ106" s="86"/>
      <c r="AL106" s="7"/>
      <c r="AM106" s="7"/>
      <c r="AN106" s="7"/>
      <c r="AO106" s="7"/>
      <c r="AP106" s="7"/>
      <c r="AQ106" s="7"/>
      <c r="AR106" s="7"/>
      <c r="AS106" s="7"/>
      <c r="AT106" s="7"/>
      <c r="AU106" s="7"/>
      <c r="AV106" s="7"/>
    </row>
    <row r="107" spans="2:56" ht="18" customHeight="1">
      <c r="Z107" s="90"/>
      <c r="AA107" s="175" t="s">
        <v>2789</v>
      </c>
      <c r="AI107" s="174">
        <v>36865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275</v>
      </c>
      <c r="AN109" s="147">
        <f t="shared" ref="AN109:AN114" si="43">SUM(AN51,AN98)</f>
        <v>150</v>
      </c>
      <c r="AO109" s="147">
        <f t="shared" ref="AO109:AO114" si="44">SUM(AM51,AM98)</f>
        <v>535</v>
      </c>
      <c r="AP109" s="147">
        <f t="shared" ref="AP109:AT114" si="45">SUM(AP51,AP98)</f>
        <v>25</v>
      </c>
      <c r="AQ109" s="147">
        <f t="shared" si="45"/>
        <v>154</v>
      </c>
      <c r="AR109" s="147">
        <f t="shared" si="45"/>
        <v>4695</v>
      </c>
      <c r="AS109" s="245">
        <f t="shared" si="45"/>
        <v>214</v>
      </c>
      <c r="AT109" s="147">
        <f t="shared" si="45"/>
        <v>6050</v>
      </c>
    </row>
    <row r="110" spans="2:56" ht="18" customHeight="1">
      <c r="AA110" s="60" t="s">
        <v>2762</v>
      </c>
      <c r="AB110" s="135">
        <f>IFERROR(AC101/AC$106,"0"%)</f>
        <v>0.26769230769230767</v>
      </c>
      <c r="AC110" s="135">
        <f>IFERROR(AD101/AD$106,"0"%)</f>
        <v>0.39473684210526316</v>
      </c>
      <c r="AD110" s="135">
        <f>IFERROR(AE101/AE$106, "0"%)</f>
        <v>0.34979423868312759</v>
      </c>
      <c r="AE110" s="135">
        <f>IFERROR(AF101/AF$106, "0"%)</f>
        <v>0.27536231884057971</v>
      </c>
      <c r="AF110" s="135">
        <f>IFERROR(AG101/AG$106, "0"%)</f>
        <v>0.17092496765847348</v>
      </c>
      <c r="AG110" s="135">
        <f>IFERROR(AI101/AI$106,"0"%)</f>
        <v>0.19677244372118252</v>
      </c>
      <c r="AH110" s="135"/>
      <c r="AL110" s="60" t="s">
        <v>1977</v>
      </c>
      <c r="AM110" s="147">
        <f t="shared" si="42"/>
        <v>130</v>
      </c>
      <c r="AN110" s="147">
        <f t="shared" si="43"/>
        <v>35</v>
      </c>
      <c r="AO110" s="147">
        <f t="shared" si="44"/>
        <v>155</v>
      </c>
      <c r="AP110" s="147">
        <f t="shared" si="45"/>
        <v>0</v>
      </c>
      <c r="AQ110" s="147">
        <f t="shared" si="45"/>
        <v>95</v>
      </c>
      <c r="AR110" s="147">
        <f t="shared" si="45"/>
        <v>3940</v>
      </c>
      <c r="AS110" s="245">
        <f t="shared" si="45"/>
        <v>335</v>
      </c>
      <c r="AT110" s="147">
        <f t="shared" si="45"/>
        <v>4690</v>
      </c>
    </row>
    <row r="111" spans="2:56" ht="18" customHeight="1">
      <c r="AA111" s="60" t="s">
        <v>1977</v>
      </c>
      <c r="AB111" s="135">
        <f t="shared" ref="AB111:AC114" si="46">IFERROR(AC102/AC$106,"0"%)</f>
        <v>0.13230769230769232</v>
      </c>
      <c r="AC111" s="135">
        <f t="shared" si="46"/>
        <v>6.5789473684210523E-2</v>
      </c>
      <c r="AD111" s="135">
        <f t="shared" ref="AD111:AF114" si="47">IFERROR(AE102/AE$106, "0"%)</f>
        <v>0.15843621399176955</v>
      </c>
      <c r="AE111" s="135">
        <f t="shared" si="47"/>
        <v>0.50724637681159424</v>
      </c>
      <c r="AF111" s="135">
        <f t="shared" si="47"/>
        <v>0.1214424320827943</v>
      </c>
      <c r="AG111" s="135">
        <f t="shared" ref="AG111:AG114" si="48">IFERROR(AI102/AI$106,"0"%)</f>
        <v>0.12883102793599133</v>
      </c>
      <c r="AH111" s="135"/>
      <c r="AL111" s="60" t="s">
        <v>1978</v>
      </c>
      <c r="AM111" s="147">
        <f t="shared" si="42"/>
        <v>140</v>
      </c>
      <c r="AN111" s="147">
        <f t="shared" si="43"/>
        <v>19</v>
      </c>
      <c r="AO111" s="147">
        <f t="shared" si="44"/>
        <v>555</v>
      </c>
      <c r="AP111" s="147">
        <f t="shared" si="45"/>
        <v>0</v>
      </c>
      <c r="AQ111" s="147">
        <f t="shared" si="45"/>
        <v>135</v>
      </c>
      <c r="AR111" s="147">
        <f t="shared" si="45"/>
        <v>5030</v>
      </c>
      <c r="AS111" s="245">
        <f t="shared" si="45"/>
        <v>146</v>
      </c>
      <c r="AT111" s="147">
        <f t="shared" si="45"/>
        <v>6025</v>
      </c>
    </row>
    <row r="112" spans="2:56" ht="18" customHeight="1">
      <c r="AA112" s="60" t="s">
        <v>1978</v>
      </c>
      <c r="AB112" s="135">
        <f t="shared" si="46"/>
        <v>8.3076923076923076E-2</v>
      </c>
      <c r="AC112" s="135">
        <f t="shared" si="46"/>
        <v>5.2631578947368418E-2</v>
      </c>
      <c r="AD112" s="135">
        <f t="shared" si="47"/>
        <v>0.19341563786008231</v>
      </c>
      <c r="AE112" s="135">
        <f t="shared" si="47"/>
        <v>0</v>
      </c>
      <c r="AF112" s="135">
        <f t="shared" si="47"/>
        <v>0.19534282018111254</v>
      </c>
      <c r="AG112" s="135">
        <f t="shared" si="48"/>
        <v>0.18727963113642529</v>
      </c>
      <c r="AH112" s="135"/>
      <c r="AL112" s="60" t="s">
        <v>1979</v>
      </c>
      <c r="AM112" s="147">
        <f t="shared" si="42"/>
        <v>124</v>
      </c>
      <c r="AN112" s="147">
        <f t="shared" si="43"/>
        <v>0</v>
      </c>
      <c r="AO112" s="147">
        <f t="shared" si="44"/>
        <v>120</v>
      </c>
      <c r="AP112" s="147">
        <f t="shared" si="45"/>
        <v>0</v>
      </c>
      <c r="AQ112" s="147">
        <f t="shared" si="45"/>
        <v>90</v>
      </c>
      <c r="AR112" s="147">
        <f t="shared" si="45"/>
        <v>2415</v>
      </c>
      <c r="AS112" s="245">
        <f t="shared" si="45"/>
        <v>45</v>
      </c>
      <c r="AT112" s="147">
        <f t="shared" si="45"/>
        <v>2790</v>
      </c>
    </row>
    <row r="113" spans="2:48" ht="18" customHeight="1">
      <c r="AA113" s="60" t="s">
        <v>1979</v>
      </c>
      <c r="AB113" s="135">
        <f t="shared" si="46"/>
        <v>0.14153846153846153</v>
      </c>
      <c r="AC113" s="135">
        <f t="shared" si="46"/>
        <v>0.26315789473684209</v>
      </c>
      <c r="AD113" s="135">
        <f t="shared" si="47"/>
        <v>9.4650205761316872E-2</v>
      </c>
      <c r="AE113" s="135">
        <f t="shared" si="47"/>
        <v>0</v>
      </c>
      <c r="AF113" s="135">
        <f t="shared" si="47"/>
        <v>0.11853169469598965</v>
      </c>
      <c r="AG113" s="135">
        <f t="shared" si="48"/>
        <v>0.11662598318416056</v>
      </c>
      <c r="AH113" s="135"/>
      <c r="AL113" s="60" t="s">
        <v>1897</v>
      </c>
      <c r="AM113" s="147">
        <f t="shared" si="42"/>
        <v>555</v>
      </c>
      <c r="AN113" s="147">
        <f t="shared" si="43"/>
        <v>75</v>
      </c>
      <c r="AO113" s="147">
        <f t="shared" si="44"/>
        <v>475</v>
      </c>
      <c r="AP113" s="147">
        <f t="shared" si="45"/>
        <v>10</v>
      </c>
      <c r="AQ113" s="147">
        <f t="shared" si="45"/>
        <v>65</v>
      </c>
      <c r="AR113" s="147">
        <f t="shared" si="45"/>
        <v>12845</v>
      </c>
      <c r="AS113" s="245">
        <f t="shared" si="45"/>
        <v>255</v>
      </c>
      <c r="AT113" s="147">
        <f t="shared" si="45"/>
        <v>14285</v>
      </c>
    </row>
    <row r="114" spans="2:48" ht="18" customHeight="1">
      <c r="AA114" s="60" t="s">
        <v>1897</v>
      </c>
      <c r="AB114" s="135">
        <f t="shared" si="46"/>
        <v>0.37538461538461537</v>
      </c>
      <c r="AC114" s="135">
        <f t="shared" si="46"/>
        <v>0.22368421052631579</v>
      </c>
      <c r="AD114" s="135">
        <f t="shared" si="47"/>
        <v>0.20370370370370369</v>
      </c>
      <c r="AE114" s="135">
        <f t="shared" si="47"/>
        <v>0.21739130434782608</v>
      </c>
      <c r="AF114" s="135">
        <f t="shared" si="47"/>
        <v>0.39375808538162999</v>
      </c>
      <c r="AG114" s="135">
        <f t="shared" si="48"/>
        <v>0.37049091402224033</v>
      </c>
      <c r="AH114" s="135"/>
      <c r="AL114" s="127" t="s">
        <v>3</v>
      </c>
      <c r="AM114" s="177">
        <f t="shared" si="42"/>
        <v>1224</v>
      </c>
      <c r="AN114" s="177">
        <f t="shared" si="43"/>
        <v>279</v>
      </c>
      <c r="AO114" s="177">
        <f t="shared" si="44"/>
        <v>1840</v>
      </c>
      <c r="AP114" s="177">
        <f t="shared" si="45"/>
        <v>35</v>
      </c>
      <c r="AQ114" s="177">
        <f t="shared" si="45"/>
        <v>539</v>
      </c>
      <c r="AR114" s="177">
        <f t="shared" si="45"/>
        <v>28925</v>
      </c>
      <c r="AS114" s="245">
        <f t="shared" si="45"/>
        <v>995</v>
      </c>
      <c r="AT114" s="177">
        <f t="shared" si="45"/>
        <v>33840</v>
      </c>
    </row>
    <row r="115" spans="2:48" ht="13.9" customHeight="1">
      <c r="B115" s="336" t="s">
        <v>2764</v>
      </c>
      <c r="C115" s="336"/>
      <c r="D115" s="336"/>
      <c r="E115" s="336"/>
      <c r="F115" s="336"/>
      <c r="G115" s="336"/>
      <c r="H115" s="336"/>
      <c r="I115" s="336"/>
      <c r="AI115" s="88"/>
      <c r="AL115" s="169" t="s">
        <v>2766</v>
      </c>
      <c r="AS115" s="7"/>
      <c r="AT115" s="1">
        <v>33845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0.22467320261437909</v>
      </c>
      <c r="AN118" s="135">
        <f t="shared" si="49"/>
        <v>0.5376344086021505</v>
      </c>
      <c r="AO118" s="135">
        <f t="shared" si="49"/>
        <v>0.29076086956521741</v>
      </c>
      <c r="AP118" s="135">
        <f>SUM(AP109:AQ109:AS109)/SUM(AP$114:AQ$114:AS$114)</f>
        <v>0.16685249557289958</v>
      </c>
      <c r="AQ118" s="135">
        <f>AR109/AR$114</f>
        <v>0.16231633535004322</v>
      </c>
      <c r="AR118" s="135">
        <f>AT109/AT$114</f>
        <v>0.17878250591016548</v>
      </c>
    </row>
    <row r="119" spans="2:48" ht="21" customHeight="1">
      <c r="B119" s="359" t="str">
        <f>"Table 7. "&amp;City_label&amp;" five year change in households by income and race, 2014 - 2019"</f>
        <v>Table 7. Bellingham five year change in households by income and race, 2014 - 2019</v>
      </c>
      <c r="C119" s="359"/>
      <c r="D119" s="359"/>
      <c r="E119" s="359"/>
      <c r="F119" s="359"/>
      <c r="G119" s="359"/>
      <c r="H119" s="359"/>
      <c r="AI119" s="88"/>
      <c r="AL119" s="60" t="s">
        <v>1977</v>
      </c>
      <c r="AM119" s="135">
        <f t="shared" si="49"/>
        <v>0.10620915032679738</v>
      </c>
      <c r="AN119" s="135">
        <f t="shared" si="49"/>
        <v>0.12544802867383512</v>
      </c>
      <c r="AO119" s="135">
        <f t="shared" si="49"/>
        <v>8.4239130434782608E-2</v>
      </c>
      <c r="AP119" s="135">
        <f>SUM(AP110:AQ110:AS110)/SUM(AP$114:AQ$114:AS$114)</f>
        <v>0.14330688004197548</v>
      </c>
      <c r="AQ119" s="135">
        <f>AR110/AR$114</f>
        <v>0.1362143474503025</v>
      </c>
      <c r="AR119" s="135">
        <f>AT110/AT$114</f>
        <v>0.1385933806146572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0.11437908496732026</v>
      </c>
      <c r="AN120" s="135">
        <f t="shared" si="49"/>
        <v>6.8100358422939072E-2</v>
      </c>
      <c r="AO120" s="135">
        <f t="shared" si="49"/>
        <v>0.3016304347826087</v>
      </c>
      <c r="AP120" s="135">
        <f>SUM(AP111:AQ111:AS111)/SUM(AP$114:AQ$114:AS$114)</f>
        <v>0.17416540958877155</v>
      </c>
      <c r="AQ120" s="135">
        <f>AR111/AR$114</f>
        <v>0.17389801210025929</v>
      </c>
      <c r="AR120" s="135">
        <f>AT111/AT$114</f>
        <v>0.17804373522458627</v>
      </c>
    </row>
    <row r="121" spans="2:48" ht="13.9" customHeight="1" thickBot="1">
      <c r="AA121" s="60" t="s">
        <v>1983</v>
      </c>
      <c r="AB121" s="86">
        <f>AE101</f>
        <v>850</v>
      </c>
      <c r="AC121" s="86">
        <f>SUM(AB101:AD101,AF101,AH101)</f>
        <v>1120</v>
      </c>
      <c r="AD121" s="86">
        <f>AG101</f>
        <v>5285</v>
      </c>
      <c r="AF121" s="135">
        <f>AB121/$AB$126</f>
        <v>0.34979423868312759</v>
      </c>
      <c r="AG121" s="135">
        <f>AC121/$AC$126</f>
        <v>0.31818181818181818</v>
      </c>
      <c r="AH121" s="135">
        <f>AD121/$AD$126</f>
        <v>0.17092496765847348</v>
      </c>
      <c r="AL121" s="60" t="s">
        <v>1979</v>
      </c>
      <c r="AM121" s="135">
        <f t="shared" si="49"/>
        <v>0.10130718954248366</v>
      </c>
      <c r="AN121" s="135">
        <f t="shared" si="49"/>
        <v>0</v>
      </c>
      <c r="AO121" s="135">
        <f t="shared" si="49"/>
        <v>6.5217391304347824E-2</v>
      </c>
      <c r="AP121" s="135">
        <f>SUM(AP112:AQ112:AS112)/SUM(AP$114:AQ$114:AS$114)</f>
        <v>8.3623007804814062E-2</v>
      </c>
      <c r="AQ121" s="135">
        <f>AR112/AR$114</f>
        <v>8.3491789109766637E-2</v>
      </c>
      <c r="AR121" s="135">
        <f>AT112/AT$114</f>
        <v>8.2446808510638292E-2</v>
      </c>
      <c r="AV121" s="7"/>
    </row>
    <row r="122" spans="2:48" ht="19.5" customHeight="1">
      <c r="B122" s="356"/>
      <c r="C122" s="349" t="s">
        <v>2768</v>
      </c>
      <c r="D122" s="349" t="s">
        <v>2776</v>
      </c>
      <c r="E122" s="349" t="s">
        <v>2777</v>
      </c>
      <c r="F122" s="349" t="s">
        <v>2778</v>
      </c>
      <c r="G122" s="349" t="s">
        <v>2775</v>
      </c>
      <c r="H122" s="349" t="s">
        <v>2</v>
      </c>
      <c r="AA122" s="60" t="s">
        <v>1977</v>
      </c>
      <c r="AB122" s="86">
        <f>AE102</f>
        <v>385</v>
      </c>
      <c r="AC122" s="86">
        <f t="shared" ref="AC122:AC125" si="50">SUM(AB102:AD102,AF102,AH102)</f>
        <v>610</v>
      </c>
      <c r="AD122" s="86">
        <f>AG102</f>
        <v>3755</v>
      </c>
      <c r="AF122" s="135">
        <f>AB122/$AB$126</f>
        <v>0.15843621399176955</v>
      </c>
      <c r="AG122" s="135">
        <f>AC122/$AC$126</f>
        <v>0.17329545454545456</v>
      </c>
      <c r="AH122" s="135">
        <f>AD122/$AD$126</f>
        <v>0.1214424320827943</v>
      </c>
      <c r="AL122" s="60" t="s">
        <v>1897</v>
      </c>
      <c r="AM122" s="284">
        <f t="shared" si="49"/>
        <v>0.45343137254901961</v>
      </c>
      <c r="AN122" s="284">
        <f t="shared" si="49"/>
        <v>0.26881720430107525</v>
      </c>
      <c r="AO122" s="284">
        <f t="shared" si="49"/>
        <v>0.25815217391304346</v>
      </c>
      <c r="AP122" s="284">
        <f>SUM(AP113:AQ113:AS113)/SUM(AP$114:AQ$114:AS$114)</f>
        <v>0.43205220699153934</v>
      </c>
      <c r="AQ122" s="284">
        <f>AR113/AR$114</f>
        <v>0.44407951598962836</v>
      </c>
      <c r="AR122" s="284">
        <f>AT113/AT$114</f>
        <v>0.4221335697399527</v>
      </c>
      <c r="AV122" s="7"/>
    </row>
    <row r="123" spans="2:48" ht="19.5" customHeight="1">
      <c r="B123" s="357"/>
      <c r="C123" s="350"/>
      <c r="D123" s="350"/>
      <c r="E123" s="350"/>
      <c r="F123" s="350"/>
      <c r="G123" s="350"/>
      <c r="H123" s="350"/>
      <c r="AA123" s="60" t="s">
        <v>1978</v>
      </c>
      <c r="AB123" s="86">
        <f>AE103</f>
        <v>470</v>
      </c>
      <c r="AC123" s="86">
        <f t="shared" si="50"/>
        <v>395</v>
      </c>
      <c r="AD123" s="86">
        <f>AG103</f>
        <v>6040</v>
      </c>
      <c r="AF123" s="135">
        <f>AB123/$AB$126</f>
        <v>0.19341563786008231</v>
      </c>
      <c r="AG123" s="135">
        <f>AC123/$AC$126</f>
        <v>0.11221590909090909</v>
      </c>
      <c r="AH123" s="135">
        <f>AD123/$AD$126</f>
        <v>0.19534282018111254</v>
      </c>
      <c r="AL123" s="127" t="s">
        <v>1</v>
      </c>
      <c r="AM123" s="283">
        <f>SUM(AM118:AM122)</f>
        <v>1</v>
      </c>
      <c r="AN123" s="283">
        <f t="shared" ref="AN123:AR123" si="51">SUM(AN118:AN122)</f>
        <v>0.99999999999999989</v>
      </c>
      <c r="AO123" s="283">
        <f>SUM(AO118:AO122)</f>
        <v>0.99999999999999989</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230</v>
      </c>
      <c r="AC124" s="86">
        <f t="shared" si="50"/>
        <v>405</v>
      </c>
      <c r="AD124" s="86">
        <f>AG104</f>
        <v>3665</v>
      </c>
      <c r="AF124" s="135">
        <f>AB124/$AB$126</f>
        <v>9.4650205761316872E-2</v>
      </c>
      <c r="AG124" s="135">
        <f>AC124/$AC$126</f>
        <v>0.11505681818181818</v>
      </c>
      <c r="AH124" s="135">
        <f>AD124/$AD$126</f>
        <v>0.11853169469598965</v>
      </c>
      <c r="AS124" s="88"/>
      <c r="AV124" s="7"/>
    </row>
    <row r="125" spans="2:48" ht="21" customHeight="1">
      <c r="B125" s="233" t="s">
        <v>3</v>
      </c>
      <c r="C125" s="234"/>
      <c r="D125" s="235"/>
      <c r="E125" s="235"/>
      <c r="F125" s="235"/>
      <c r="G125" s="235"/>
      <c r="H125" s="235"/>
      <c r="AA125" s="60" t="s">
        <v>1897</v>
      </c>
      <c r="AB125" s="287">
        <f>AE105</f>
        <v>495</v>
      </c>
      <c r="AC125" s="287">
        <f t="shared" si="50"/>
        <v>990</v>
      </c>
      <c r="AD125" s="287">
        <f>AG105</f>
        <v>12175</v>
      </c>
      <c r="AE125" s="288"/>
      <c r="AF125" s="284">
        <f>AB125/$AB$126</f>
        <v>0.20370370370370369</v>
      </c>
      <c r="AG125" s="284">
        <f>AC125/$AC$126</f>
        <v>0.28125</v>
      </c>
      <c r="AH125" s="284">
        <f>AD125/$AD$126</f>
        <v>0.39375808538162999</v>
      </c>
      <c r="AS125" s="88"/>
      <c r="AV125" s="7"/>
    </row>
    <row r="126" spans="2:48" ht="21" customHeight="1">
      <c r="B126" s="43">
        <v>2015</v>
      </c>
      <c r="C126" s="236">
        <f>AT109</f>
        <v>6050</v>
      </c>
      <c r="D126" s="237">
        <f>AT110</f>
        <v>4690</v>
      </c>
      <c r="E126" s="237">
        <f>AT111</f>
        <v>6025</v>
      </c>
      <c r="F126" s="237">
        <f>AT112</f>
        <v>2790</v>
      </c>
      <c r="G126" s="237">
        <f>AT113</f>
        <v>14285</v>
      </c>
      <c r="H126" s="237">
        <f>AT114</f>
        <v>33840</v>
      </c>
      <c r="AA126" s="85" t="s">
        <v>1</v>
      </c>
      <c r="AB126" s="128">
        <f>SUM(AB121:AB125)</f>
        <v>2430</v>
      </c>
      <c r="AC126" s="128">
        <f>SUM(AC121:AC125)</f>
        <v>3520</v>
      </c>
      <c r="AD126" s="128">
        <f>SUM(AD121:AD125)</f>
        <v>30920</v>
      </c>
      <c r="AF126" s="283">
        <f>SUM(AF121:AF125)</f>
        <v>1</v>
      </c>
      <c r="AG126" s="283">
        <f t="shared" ref="AG126:AH126" si="52">SUM(AG121:AG125)</f>
        <v>1</v>
      </c>
      <c r="AH126" s="283">
        <f t="shared" si="52"/>
        <v>1</v>
      </c>
      <c r="AI126" s="88"/>
      <c r="AL126" s="171"/>
      <c r="AS126" s="88"/>
      <c r="AV126" s="7"/>
    </row>
    <row r="127" spans="2:48" ht="21" customHeight="1">
      <c r="B127" s="43">
        <v>2020</v>
      </c>
      <c r="C127" s="236">
        <f>AI101</f>
        <v>7255</v>
      </c>
      <c r="D127" s="237">
        <f>AI102</f>
        <v>4750</v>
      </c>
      <c r="E127" s="237">
        <f>AI103</f>
        <v>6905</v>
      </c>
      <c r="F127" s="237">
        <f>AI104</f>
        <v>4300</v>
      </c>
      <c r="G127" s="237">
        <f>AI105</f>
        <v>13660</v>
      </c>
      <c r="H127" s="237">
        <f>AI106</f>
        <v>36870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275</v>
      </c>
      <c r="D129" s="237">
        <f>AM110</f>
        <v>130</v>
      </c>
      <c r="E129" s="237">
        <f>AM111</f>
        <v>140</v>
      </c>
      <c r="F129" s="237">
        <f>AM112</f>
        <v>124</v>
      </c>
      <c r="G129" s="237">
        <f>AM113</f>
        <v>555</v>
      </c>
      <c r="H129" s="237">
        <f>AM114</f>
        <v>1224</v>
      </c>
      <c r="AI129" s="88"/>
      <c r="AL129" s="60"/>
      <c r="AM129" s="86"/>
      <c r="AN129" s="86"/>
      <c r="AO129" s="86"/>
      <c r="AQ129" s="135"/>
      <c r="AR129" s="135"/>
      <c r="AS129" s="135"/>
      <c r="AV129" s="7"/>
    </row>
    <row r="130" spans="2:48" ht="18" customHeight="1">
      <c r="B130" s="43">
        <v>2020</v>
      </c>
      <c r="C130" s="237">
        <f>AC101</f>
        <v>435</v>
      </c>
      <c r="D130" s="237">
        <f>AC102</f>
        <v>215</v>
      </c>
      <c r="E130" s="237">
        <f>AC103</f>
        <v>135</v>
      </c>
      <c r="F130" s="237">
        <f>AC104</f>
        <v>230</v>
      </c>
      <c r="G130" s="237">
        <f>AC105</f>
        <v>610</v>
      </c>
      <c r="H130" s="237">
        <f>AC106</f>
        <v>1625</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150</v>
      </c>
      <c r="D132" s="237">
        <f>AN110</f>
        <v>35</v>
      </c>
      <c r="E132" s="237">
        <f>AN111</f>
        <v>19</v>
      </c>
      <c r="F132" s="237">
        <f>AN112</f>
        <v>0</v>
      </c>
      <c r="G132" s="237">
        <f>AN113</f>
        <v>75</v>
      </c>
      <c r="H132" s="237">
        <f>AN114</f>
        <v>279</v>
      </c>
      <c r="AI132" s="88"/>
      <c r="AL132" s="60"/>
      <c r="AM132" s="86"/>
      <c r="AN132" s="86"/>
      <c r="AO132" s="86"/>
      <c r="AQ132" s="135"/>
      <c r="AR132" s="135"/>
      <c r="AS132" s="135"/>
      <c r="AV132" s="7"/>
    </row>
    <row r="133" spans="2:48" ht="18" customHeight="1">
      <c r="B133" s="43">
        <v>2020</v>
      </c>
      <c r="C133" s="237">
        <f>AD101</f>
        <v>150</v>
      </c>
      <c r="D133" s="237">
        <f>AD102</f>
        <v>25</v>
      </c>
      <c r="E133" s="237">
        <f>AD103</f>
        <v>20</v>
      </c>
      <c r="F133" s="237">
        <f>AD104</f>
        <v>100</v>
      </c>
      <c r="G133" s="237">
        <f>AD105</f>
        <v>85</v>
      </c>
      <c r="H133" s="237">
        <f>AD106</f>
        <v>380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535</v>
      </c>
      <c r="D135" s="237">
        <f>AO110</f>
        <v>155</v>
      </c>
      <c r="E135" s="237">
        <f>AO111</f>
        <v>555</v>
      </c>
      <c r="F135" s="237">
        <f>AO112</f>
        <v>120</v>
      </c>
      <c r="G135" s="237">
        <f>AO113</f>
        <v>475</v>
      </c>
      <c r="H135" s="237">
        <f>AO114</f>
        <v>1840</v>
      </c>
      <c r="AA135" s="7"/>
      <c r="AB135" s="7"/>
      <c r="AC135" s="7"/>
      <c r="AD135" s="7"/>
      <c r="AE135" s="7"/>
      <c r="AF135" s="7"/>
      <c r="AG135" s="7"/>
      <c r="AH135" s="7"/>
      <c r="AI135" s="7"/>
      <c r="AJ135" s="7"/>
      <c r="AK135" s="7"/>
      <c r="AS135" s="88"/>
      <c r="AV135" s="7"/>
    </row>
    <row r="136" spans="2:48" ht="18" customHeight="1">
      <c r="B136" s="43">
        <v>2020</v>
      </c>
      <c r="C136" s="239">
        <f>AE101</f>
        <v>850</v>
      </c>
      <c r="D136" s="239">
        <f>AE102</f>
        <v>385</v>
      </c>
      <c r="E136" s="239">
        <f>AE103</f>
        <v>470</v>
      </c>
      <c r="F136" s="239">
        <f>AE104</f>
        <v>230</v>
      </c>
      <c r="G136" s="239">
        <f>AE105</f>
        <v>495</v>
      </c>
      <c r="H136" s="239">
        <f>AE106</f>
        <v>2430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393</v>
      </c>
      <c r="D138" s="237">
        <f>AP110+AQ110+AS110</f>
        <v>430</v>
      </c>
      <c r="E138" s="237">
        <f>AP111+AQ111+AS111</f>
        <v>281</v>
      </c>
      <c r="F138" s="237">
        <f>AP112+AQ112+AS112</f>
        <v>135</v>
      </c>
      <c r="G138" s="237">
        <f>AP113+AQ113+AS113</f>
        <v>330</v>
      </c>
      <c r="H138" s="237">
        <f>AP114+AQ114+AS114</f>
        <v>1569</v>
      </c>
      <c r="AA138" s="7"/>
      <c r="AB138" s="7"/>
      <c r="AC138" s="7"/>
      <c r="AD138" s="7"/>
      <c r="AE138" s="7"/>
      <c r="AF138" s="7"/>
      <c r="AG138" s="7"/>
      <c r="AH138" s="7"/>
      <c r="AI138" s="7"/>
      <c r="AJ138" s="7"/>
      <c r="AK138" s="7"/>
      <c r="AV138" s="7"/>
    </row>
    <row r="139" spans="2:48" ht="18" customHeight="1">
      <c r="B139" s="43">
        <v>2020</v>
      </c>
      <c r="C139" s="237">
        <f>SUM(AB101,AF101,AH101)</f>
        <v>535</v>
      </c>
      <c r="D139" s="237">
        <f>SUM(AB102,AF102,AH102)</f>
        <v>370</v>
      </c>
      <c r="E139" s="237">
        <f>SUM(AB103,AF103,AH103)</f>
        <v>240</v>
      </c>
      <c r="F139" s="237">
        <f>SUM(AB104,AF104,AH104)</f>
        <v>75</v>
      </c>
      <c r="G139" s="237">
        <f>SUM(AB105,AF105,AH105)</f>
        <v>295</v>
      </c>
      <c r="H139" s="237">
        <f>SUM(AB106,AF106,AH106)</f>
        <v>1515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4695</v>
      </c>
      <c r="D141" s="237">
        <f>AR110</f>
        <v>3940</v>
      </c>
      <c r="E141" s="237">
        <f>AR111</f>
        <v>5030</v>
      </c>
      <c r="F141" s="237">
        <f>AR112</f>
        <v>2415</v>
      </c>
      <c r="G141" s="237">
        <f>AR113</f>
        <v>12845</v>
      </c>
      <c r="H141" s="237">
        <f>AR114</f>
        <v>28925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5285</v>
      </c>
      <c r="D142" s="241">
        <f>AG102</f>
        <v>3755</v>
      </c>
      <c r="E142" s="241">
        <f>AG103</f>
        <v>6040</v>
      </c>
      <c r="F142" s="241">
        <f>AG104</f>
        <v>3665</v>
      </c>
      <c r="G142" s="241">
        <f>AG105</f>
        <v>12175</v>
      </c>
      <c r="H142" s="241">
        <f>AG106</f>
        <v>30920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Bellingham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0.17878250591016548</v>
      </c>
      <c r="D152" s="267">
        <f t="shared" ref="D152:F153" si="53">IFERROR(D126/$H126,"0"%)</f>
        <v>0.1385933806146572</v>
      </c>
      <c r="E152" s="267">
        <f t="shared" si="53"/>
        <v>0.17804373522458627</v>
      </c>
      <c r="F152" s="267">
        <f t="shared" si="53"/>
        <v>8.2446808510638292E-2</v>
      </c>
      <c r="G152" s="267">
        <f>G126/$H126</f>
        <v>0.4221335697399527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0.19677244372118252</v>
      </c>
      <c r="D153" s="267">
        <f t="shared" si="53"/>
        <v>0.12883102793599133</v>
      </c>
      <c r="E153" s="267">
        <f t="shared" si="53"/>
        <v>0.18727963113642529</v>
      </c>
      <c r="F153" s="267">
        <f t="shared" si="53"/>
        <v>0.11662598318416056</v>
      </c>
      <c r="G153" s="267">
        <f>G127/$H127</f>
        <v>0.37049091402224033</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0.22467320261437909</v>
      </c>
      <c r="D155" s="267">
        <f t="shared" si="54"/>
        <v>0.10620915032679738</v>
      </c>
      <c r="E155" s="267">
        <f t="shared" si="54"/>
        <v>0.11437908496732026</v>
      </c>
      <c r="F155" s="267">
        <f t="shared" si="54"/>
        <v>0.10130718954248366</v>
      </c>
      <c r="G155" s="267">
        <f t="shared" si="54"/>
        <v>0.45343137254901961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0.26769230769230767</v>
      </c>
      <c r="D156" s="267">
        <f t="shared" si="54"/>
        <v>0.13230769230769232</v>
      </c>
      <c r="E156" s="267">
        <f t="shared" si="54"/>
        <v>8.3076923076923076E-2</v>
      </c>
      <c r="F156" s="267">
        <f t="shared" si="54"/>
        <v>0.14153846153846153</v>
      </c>
      <c r="G156" s="267">
        <f t="shared" si="54"/>
        <v>0.37538461538461537</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0.5376344086021505</v>
      </c>
      <c r="D158" s="267">
        <f t="shared" si="55"/>
        <v>0.12544802867383512</v>
      </c>
      <c r="E158" s="267">
        <f t="shared" si="55"/>
        <v>6.8100358422939072E-2</v>
      </c>
      <c r="F158" s="267">
        <f t="shared" si="55"/>
        <v>0</v>
      </c>
      <c r="G158" s="267">
        <f t="shared" si="55"/>
        <v>0.26881720430107525</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0.39473684210526316</v>
      </c>
      <c r="D159" s="267">
        <f t="shared" si="55"/>
        <v>6.5789473684210523E-2</v>
      </c>
      <c r="E159" s="267">
        <f t="shared" si="55"/>
        <v>5.2631578947368418E-2</v>
      </c>
      <c r="F159" s="267">
        <f t="shared" si="55"/>
        <v>0.26315789473684209</v>
      </c>
      <c r="G159" s="267">
        <f t="shared" si="55"/>
        <v>0.22368421052631579</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0.29076086956521741</v>
      </c>
      <c r="D161" s="267">
        <f t="shared" si="56"/>
        <v>8.4239130434782608E-2</v>
      </c>
      <c r="E161" s="267">
        <f t="shared" si="56"/>
        <v>0.3016304347826087</v>
      </c>
      <c r="F161" s="267">
        <f t="shared" si="56"/>
        <v>6.5217391304347824E-2</v>
      </c>
      <c r="G161" s="267">
        <f t="shared" si="56"/>
        <v>0.25815217391304346</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0.34979423868312759</v>
      </c>
      <c r="D162" s="267">
        <f t="shared" si="56"/>
        <v>0.15843621399176955</v>
      </c>
      <c r="E162" s="267">
        <f t="shared" si="56"/>
        <v>0.19341563786008231</v>
      </c>
      <c r="F162" s="267">
        <f t="shared" si="56"/>
        <v>9.4650205761316872E-2</v>
      </c>
      <c r="G162" s="267">
        <f t="shared" si="56"/>
        <v>0.20370370370370369</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0.25047801147227533</v>
      </c>
      <c r="D164" s="267">
        <f t="shared" si="57"/>
        <v>0.27405991077119185</v>
      </c>
      <c r="E164" s="267">
        <f t="shared" si="57"/>
        <v>0.17909496494582536</v>
      </c>
      <c r="F164" s="267">
        <f t="shared" si="57"/>
        <v>8.6042065009560229E-2</v>
      </c>
      <c r="G164" s="267">
        <f t="shared" si="57"/>
        <v>0.21032504780114722</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0.35313531353135313</v>
      </c>
      <c r="D165" s="267">
        <f t="shared" si="57"/>
        <v>0.24422442244224424</v>
      </c>
      <c r="E165" s="267">
        <f t="shared" si="57"/>
        <v>0.15841584158415842</v>
      </c>
      <c r="F165" s="267">
        <f t="shared" si="57"/>
        <v>4.9504950495049507E-2</v>
      </c>
      <c r="G165" s="267">
        <f t="shared" si="57"/>
        <v>0.19471947194719472</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0.16231633535004322</v>
      </c>
      <c r="D167" s="267">
        <f t="shared" si="58"/>
        <v>0.1362143474503025</v>
      </c>
      <c r="E167" s="267">
        <f t="shared" si="58"/>
        <v>0.17389801210025929</v>
      </c>
      <c r="F167" s="267">
        <f t="shared" si="58"/>
        <v>8.3491789109766637E-2</v>
      </c>
      <c r="G167" s="267">
        <f t="shared" si="58"/>
        <v>0.44407951598962836</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0.17092496765847348</v>
      </c>
      <c r="D168" s="267">
        <f t="shared" si="58"/>
        <v>0.1214424320827943</v>
      </c>
      <c r="E168" s="267">
        <f t="shared" si="58"/>
        <v>0.19534282018111254</v>
      </c>
      <c r="F168" s="267">
        <f t="shared" si="58"/>
        <v>0.11853169469598965</v>
      </c>
      <c r="G168" s="267">
        <f t="shared" si="58"/>
        <v>0.39375808538162999</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Bellingham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Bellingham count of owner and renter households by racial group, 2019</v>
      </c>
      <c r="C5" s="301"/>
      <c r="D5" s="301"/>
      <c r="E5" s="301"/>
      <c r="F5" s="301"/>
      <c r="G5" s="301"/>
      <c r="H5" s="301"/>
      <c r="I5" s="301"/>
      <c r="J5" s="301"/>
      <c r="K5" s="301"/>
      <c r="X5" s="16" t="s">
        <v>2702</v>
      </c>
      <c r="Y5" s="304" t="str">
        <f>City</f>
        <v>Bellingham city, Washington</v>
      </c>
      <c r="Z5" s="304"/>
    </row>
    <row r="6" spans="2:57" ht="18" customHeight="1">
      <c r="B6" s="301"/>
      <c r="C6" s="301"/>
      <c r="D6" s="301"/>
      <c r="E6" s="301"/>
      <c r="F6" s="301"/>
      <c r="G6" s="301"/>
      <c r="H6" s="301"/>
      <c r="I6" s="301"/>
      <c r="J6" s="301"/>
      <c r="K6" s="301"/>
      <c r="X6" s="16" t="s">
        <v>2703</v>
      </c>
      <c r="Y6" s="304" t="str">
        <f>County</f>
        <v>Whatcom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Bellingham</v>
      </c>
      <c r="F8" s="257"/>
      <c r="G8" s="256"/>
      <c r="H8" s="65" t="str">
        <f>City_label</f>
        <v>Bellingham</v>
      </c>
      <c r="I8" s="257"/>
      <c r="J8" s="65" t="str">
        <f>County_label</f>
        <v>Whatcom County</v>
      </c>
      <c r="K8" s="257"/>
      <c r="X8" s="62" t="str">
        <f>City</f>
        <v>Bellingham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150</v>
      </c>
      <c r="F11" s="253">
        <f>Y40</f>
        <v>280</v>
      </c>
      <c r="G11" s="29"/>
      <c r="H11" s="254">
        <f>IFERROR(E11/SUM(E11:F11), "0%")</f>
        <v>0.34883720930232559</v>
      </c>
      <c r="I11" s="254">
        <f t="shared" ref="I11:I18" si="0">IFERROR(F11/SUM(F11:F11), "0%")</f>
        <v>1</v>
      </c>
      <c r="J11" s="254">
        <f>Y66/Y51</f>
        <v>0.5</v>
      </c>
      <c r="K11" s="254">
        <f>Y77/Y51</f>
        <v>0.5</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705</v>
      </c>
      <c r="F12" s="253">
        <f>Z40</f>
        <v>915</v>
      </c>
      <c r="G12" s="29"/>
      <c r="H12" s="254">
        <f t="shared" ref="H12:H18" si="1">IFERROR(E12/SUM(E12:F12), "0%")</f>
        <v>0.43518518518518517</v>
      </c>
      <c r="I12" s="254">
        <f t="shared" si="0"/>
        <v>1</v>
      </c>
      <c r="J12" s="254">
        <f>Z66/Z51</f>
        <v>0.60486891385767794</v>
      </c>
      <c r="K12" s="254">
        <f>Z77/Z51</f>
        <v>0.39513108614232212</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45</v>
      </c>
      <c r="F13" s="253">
        <f>AA40</f>
        <v>335</v>
      </c>
      <c r="G13" s="29"/>
      <c r="H13" s="254">
        <f t="shared" si="1"/>
        <v>0.11842105263157894</v>
      </c>
      <c r="I13" s="254">
        <f t="shared" si="0"/>
        <v>1</v>
      </c>
      <c r="J13" s="254">
        <f>AA66/AA51</f>
        <v>0.23300970873786409</v>
      </c>
      <c r="K13" s="254">
        <f>AA77/AA51</f>
        <v>0.76699029126213591</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555</v>
      </c>
      <c r="F14" s="253">
        <f>AB40</f>
        <v>1870</v>
      </c>
      <c r="G14" s="29"/>
      <c r="H14" s="254">
        <f t="shared" si="1"/>
        <v>0.22886597938144329</v>
      </c>
      <c r="I14" s="254">
        <f t="shared" si="0"/>
        <v>1</v>
      </c>
      <c r="J14" s="254">
        <f>AB66/AB51</f>
        <v>0.40037071362372567</v>
      </c>
      <c r="K14" s="254">
        <f>AB77/AB51</f>
        <v>0.59962928637627433</v>
      </c>
      <c r="X14" s="33" t="s">
        <v>2852</v>
      </c>
      <c r="Y14" s="37">
        <f t="shared" ref="Y14:AE14" si="2">SUM(Y29,Y40)</f>
        <v>430</v>
      </c>
      <c r="Z14" s="37">
        <f t="shared" si="2"/>
        <v>1620</v>
      </c>
      <c r="AA14" s="37">
        <f t="shared" si="2"/>
        <v>380</v>
      </c>
      <c r="AB14" s="37">
        <f t="shared" si="2"/>
        <v>2425</v>
      </c>
      <c r="AC14" s="37">
        <f t="shared" si="2"/>
        <v>1015</v>
      </c>
      <c r="AD14" s="37">
        <f t="shared" si="2"/>
        <v>70</v>
      </c>
      <c r="AE14" s="37">
        <f t="shared" si="2"/>
        <v>30920</v>
      </c>
      <c r="AF14" s="2">
        <v>36865</v>
      </c>
      <c r="AG14" s="5"/>
      <c r="AH14" t="s">
        <v>5</v>
      </c>
      <c r="AI14" s="5">
        <f>AI25</f>
        <v>705</v>
      </c>
      <c r="AJ14" s="5">
        <f t="shared" ref="AJ14:AO14" si="3">AJ25</f>
        <v>45</v>
      </c>
      <c r="AK14" s="5">
        <f t="shared" si="3"/>
        <v>555</v>
      </c>
      <c r="AL14" s="5">
        <f t="shared" si="3"/>
        <v>390</v>
      </c>
      <c r="AM14" s="5">
        <f t="shared" si="3"/>
        <v>1140</v>
      </c>
      <c r="AN14" s="5">
        <f t="shared" si="3"/>
        <v>15025</v>
      </c>
      <c r="AO14" s="5">
        <f t="shared" si="3"/>
        <v>16720</v>
      </c>
      <c r="AP14" s="37"/>
      <c r="AQ14" s="37"/>
      <c r="AR14" s="5"/>
    </row>
    <row r="15" spans="2:57">
      <c r="B15" s="29" t="s">
        <v>2706</v>
      </c>
      <c r="C15" s="29"/>
      <c r="E15" s="253">
        <f>AC29</f>
        <v>210</v>
      </c>
      <c r="F15" s="253">
        <f>AC40</f>
        <v>805</v>
      </c>
      <c r="G15" s="29"/>
      <c r="H15" s="254">
        <f t="shared" si="1"/>
        <v>0.20689655172413793</v>
      </c>
      <c r="I15" s="254">
        <f t="shared" si="0"/>
        <v>1</v>
      </c>
      <c r="J15" s="254">
        <f>AC66/AC51</f>
        <v>0.42014742014742013</v>
      </c>
      <c r="K15" s="254">
        <f>AC77/AC51</f>
        <v>0.57985257985257987</v>
      </c>
      <c r="X15" s="33"/>
      <c r="Y15" s="5"/>
      <c r="Z15" s="5"/>
      <c r="AA15" s="5"/>
      <c r="AB15" s="5"/>
      <c r="AC15" s="5"/>
      <c r="AD15" s="5"/>
      <c r="AE15" s="5"/>
      <c r="AF15" s="5"/>
      <c r="AG15" s="5"/>
      <c r="AH15" s="33" t="s">
        <v>4</v>
      </c>
      <c r="AI15" s="5">
        <f>AI36</f>
        <v>915</v>
      </c>
      <c r="AJ15" s="5">
        <f t="shared" ref="AJ15:AO15" si="4">AJ36</f>
        <v>335</v>
      </c>
      <c r="AK15" s="5">
        <f t="shared" si="4"/>
        <v>1870</v>
      </c>
      <c r="AL15" s="5">
        <f t="shared" si="4"/>
        <v>1125</v>
      </c>
      <c r="AM15" s="5">
        <f t="shared" si="4"/>
        <v>2375</v>
      </c>
      <c r="AN15" s="5">
        <f t="shared" si="4"/>
        <v>15895</v>
      </c>
      <c r="AO15" s="5">
        <f t="shared" si="4"/>
        <v>20145</v>
      </c>
      <c r="AP15" s="5"/>
    </row>
    <row r="16" spans="2:57" ht="15">
      <c r="B16" s="29" t="s">
        <v>2721</v>
      </c>
      <c r="C16" s="29"/>
      <c r="E16" s="253">
        <f>AD29</f>
        <v>30</v>
      </c>
      <c r="F16" s="253">
        <f>AD40</f>
        <v>40</v>
      </c>
      <c r="G16" s="29"/>
      <c r="H16" s="254">
        <f t="shared" si="1"/>
        <v>0.42857142857142855</v>
      </c>
      <c r="I16" s="254">
        <f t="shared" si="0"/>
        <v>1</v>
      </c>
      <c r="J16" s="254">
        <f>AD66/AD51</f>
        <v>0.36842105263157893</v>
      </c>
      <c r="K16" s="254">
        <f>AD77/AD51</f>
        <v>0.63157894736842102</v>
      </c>
      <c r="X16" s="33"/>
      <c r="Y16" s="5"/>
      <c r="Z16" s="5"/>
      <c r="AA16" s="5"/>
      <c r="AB16" s="5"/>
      <c r="AC16" s="5"/>
      <c r="AD16" s="5"/>
      <c r="AE16" s="251" t="s">
        <v>2854</v>
      </c>
      <c r="AF16" s="5">
        <f>SUM(Y14:AE14)</f>
        <v>36860</v>
      </c>
      <c r="AG16" s="5"/>
      <c r="AH16" s="34" t="s">
        <v>1</v>
      </c>
      <c r="AI16" s="34">
        <f>Z14</f>
        <v>1620</v>
      </c>
      <c r="AJ16" s="34">
        <f>AA14</f>
        <v>380</v>
      </c>
      <c r="AK16" s="37">
        <f>AB14</f>
        <v>2425</v>
      </c>
      <c r="AL16" s="37">
        <f>SUM(Y14, AC14:AD14)</f>
        <v>1515</v>
      </c>
      <c r="AM16" s="37">
        <f>SUM(Y14:AA14,AC14:AD14)</f>
        <v>3515</v>
      </c>
      <c r="AN16" s="37">
        <f>AE14</f>
        <v>30920</v>
      </c>
      <c r="AO16" s="37">
        <f>AF14</f>
        <v>36865</v>
      </c>
      <c r="AP16" s="5"/>
    </row>
    <row r="17" spans="2:42">
      <c r="B17" s="29" t="s">
        <v>2672</v>
      </c>
      <c r="C17" s="29"/>
      <c r="E17" s="281">
        <f>AE29</f>
        <v>15025</v>
      </c>
      <c r="F17" s="281">
        <f>AE40</f>
        <v>15895</v>
      </c>
      <c r="G17" s="70"/>
      <c r="H17" s="282">
        <f t="shared" si="1"/>
        <v>0.48593143596377747</v>
      </c>
      <c r="I17" s="282">
        <f t="shared" si="0"/>
        <v>1</v>
      </c>
      <c r="J17" s="282">
        <f>AE66/AE51</f>
        <v>0.64737696051919957</v>
      </c>
      <c r="K17" s="282">
        <f>AE77/AE51</f>
        <v>0.35262303948080043</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16720</v>
      </c>
      <c r="F18" s="258">
        <f>AF40</f>
        <v>20145</v>
      </c>
      <c r="G18" s="247"/>
      <c r="H18" s="259">
        <f t="shared" si="1"/>
        <v>0.45354672453546724</v>
      </c>
      <c r="I18" s="259">
        <f t="shared" si="0"/>
        <v>1</v>
      </c>
      <c r="J18" s="259">
        <f>AF66/AF51</f>
        <v>0.61924299335452182</v>
      </c>
      <c r="K18" s="259">
        <f>AF77/AF51</f>
        <v>0.38075700664547818</v>
      </c>
      <c r="AE18" s="59" t="s">
        <v>2852</v>
      </c>
      <c r="AF18" s="112" t="s">
        <v>2235</v>
      </c>
      <c r="AG18" s="5"/>
      <c r="AH18" t="s">
        <v>5</v>
      </c>
      <c r="AI18" s="6">
        <f>AI14/AI$16</f>
        <v>0.43518518518518517</v>
      </c>
      <c r="AJ18" s="6">
        <f t="shared" ref="AJ18:AO18" si="5">AJ14/AJ$16</f>
        <v>0.11842105263157894</v>
      </c>
      <c r="AK18" s="6">
        <f t="shared" si="5"/>
        <v>0.22886597938144329</v>
      </c>
      <c r="AL18" s="6">
        <f t="shared" si="5"/>
        <v>0.25742574257425743</v>
      </c>
      <c r="AM18" s="6">
        <f t="shared" si="5"/>
        <v>0.32432432432432434</v>
      </c>
      <c r="AN18" s="6">
        <f t="shared" si="5"/>
        <v>0.48593143596377747</v>
      </c>
      <c r="AO18" s="6">
        <f t="shared" si="5"/>
        <v>0.45354672453546724</v>
      </c>
      <c r="AP18" s="5"/>
    </row>
    <row r="19" spans="2:42" ht="15">
      <c r="B19" s="336" t="s">
        <v>2780</v>
      </c>
      <c r="C19" s="336"/>
      <c r="D19" s="336"/>
      <c r="E19" s="336"/>
      <c r="F19" s="336"/>
      <c r="G19" s="336"/>
      <c r="H19" s="336"/>
      <c r="I19" s="336"/>
      <c r="J19" s="336"/>
      <c r="K19" s="336"/>
      <c r="AG19" s="5"/>
      <c r="AH19" s="33" t="s">
        <v>4</v>
      </c>
      <c r="AI19" s="6">
        <f>AI15/AI$16</f>
        <v>0.56481481481481477</v>
      </c>
      <c r="AJ19" s="6">
        <f t="shared" ref="AJ19:AO19" si="6">AJ15/AJ$16</f>
        <v>0.88157894736842102</v>
      </c>
      <c r="AK19" s="6">
        <f t="shared" si="6"/>
        <v>0.77113402061855674</v>
      </c>
      <c r="AL19" s="6">
        <f t="shared" si="6"/>
        <v>0.74257425742574257</v>
      </c>
      <c r="AM19" s="6">
        <f t="shared" si="6"/>
        <v>0.67567567567567566</v>
      </c>
      <c r="AN19" s="6">
        <f t="shared" si="6"/>
        <v>0.51406856403622248</v>
      </c>
      <c r="AO19" s="6">
        <f t="shared" si="6"/>
        <v>0.54645327546453271</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Bellingham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705</v>
      </c>
      <c r="AJ25" s="37">
        <f>AA29</f>
        <v>45</v>
      </c>
      <c r="AK25" s="37">
        <f>AB29</f>
        <v>555</v>
      </c>
      <c r="AL25" s="37">
        <f>SUM(Y29,AC29:AD29)</f>
        <v>390</v>
      </c>
      <c r="AM25" s="37">
        <f>SUM(Y29:AA29,AC29:AD29)</f>
        <v>1140</v>
      </c>
      <c r="AN25" s="37">
        <f>AE29</f>
        <v>15025</v>
      </c>
      <c r="AO25" s="37">
        <f>AF29</f>
        <v>16720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150</v>
      </c>
      <c r="Z29" s="2">
        <v>705</v>
      </c>
      <c r="AA29" s="2">
        <v>45</v>
      </c>
      <c r="AB29" s="2">
        <v>555</v>
      </c>
      <c r="AC29" s="2">
        <v>210</v>
      </c>
      <c r="AD29" s="2">
        <v>30</v>
      </c>
      <c r="AE29" s="2">
        <v>15025</v>
      </c>
      <c r="AF29" s="2">
        <v>16720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915</v>
      </c>
      <c r="AJ36" s="37">
        <f>AA40</f>
        <v>335</v>
      </c>
      <c r="AK36" s="37">
        <f>AB40</f>
        <v>1870</v>
      </c>
      <c r="AL36" s="37">
        <f>SUM(Y40, AC40:AD40)</f>
        <v>1125</v>
      </c>
      <c r="AM36" s="37">
        <f>SUM(Y40:AA40,AC40:AD40)</f>
        <v>2375</v>
      </c>
      <c r="AN36" s="37">
        <f>AE40</f>
        <v>15895</v>
      </c>
      <c r="AO36" s="37">
        <f>AF40</f>
        <v>20145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280</v>
      </c>
      <c r="Z40" s="2">
        <v>915</v>
      </c>
      <c r="AA40" s="2">
        <v>335</v>
      </c>
      <c r="AB40" s="2">
        <v>1870</v>
      </c>
      <c r="AC40" s="2">
        <v>805</v>
      </c>
      <c r="AD40" s="2">
        <v>40</v>
      </c>
      <c r="AE40" s="2">
        <v>15895</v>
      </c>
      <c r="AF40" s="2">
        <v>20145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Whatcom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Bellingham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1760</v>
      </c>
      <c r="Z51" s="37">
        <f t="shared" si="8"/>
        <v>2670</v>
      </c>
      <c r="AA51" s="37">
        <f t="shared" si="8"/>
        <v>515</v>
      </c>
      <c r="AB51" s="37">
        <f t="shared" si="8"/>
        <v>5395</v>
      </c>
      <c r="AC51" s="37">
        <f t="shared" si="8"/>
        <v>2035</v>
      </c>
      <c r="AD51" s="37">
        <f t="shared" si="8"/>
        <v>190</v>
      </c>
      <c r="AE51" s="37">
        <f t="shared" si="8"/>
        <v>73960</v>
      </c>
      <c r="AF51" s="37">
        <f t="shared" si="8"/>
        <v>86525</v>
      </c>
      <c r="AG51" s="5"/>
      <c r="AH51" t="s">
        <v>5</v>
      </c>
      <c r="AI51" s="5">
        <f>AI62</f>
        <v>1615</v>
      </c>
      <c r="AJ51" s="5">
        <f t="shared" ref="AJ51:AO51" si="9">AJ62</f>
        <v>120</v>
      </c>
      <c r="AK51" s="5">
        <f t="shared" si="9"/>
        <v>2160</v>
      </c>
      <c r="AL51" s="5">
        <f t="shared" si="9"/>
        <v>1805</v>
      </c>
      <c r="AM51" s="5">
        <f t="shared" si="9"/>
        <v>5700</v>
      </c>
      <c r="AN51" s="5">
        <f t="shared" si="9"/>
        <v>47880</v>
      </c>
      <c r="AO51" s="5">
        <f t="shared" si="9"/>
        <v>53580</v>
      </c>
      <c r="AP51" s="37"/>
    </row>
    <row r="52" spans="24:44">
      <c r="X52" s="33"/>
      <c r="Y52" s="5"/>
      <c r="Z52" s="5"/>
      <c r="AA52" s="5"/>
      <c r="AB52" s="5"/>
      <c r="AC52" s="5"/>
      <c r="AD52" s="5"/>
      <c r="AE52" s="5"/>
      <c r="AF52" s="5"/>
      <c r="AG52" s="5"/>
      <c r="AH52" s="33" t="s">
        <v>4</v>
      </c>
      <c r="AI52" s="5">
        <f>AI73</f>
        <v>1055</v>
      </c>
      <c r="AJ52" s="5">
        <f t="shared" ref="AJ52:AO52" si="10">AJ73</f>
        <v>395</v>
      </c>
      <c r="AK52" s="5">
        <f t="shared" si="10"/>
        <v>3235</v>
      </c>
      <c r="AL52" s="5">
        <f t="shared" si="10"/>
        <v>2180</v>
      </c>
      <c r="AM52" s="5">
        <f t="shared" si="10"/>
        <v>6865</v>
      </c>
      <c r="AN52" s="5">
        <f t="shared" si="10"/>
        <v>26080</v>
      </c>
      <c r="AO52" s="5">
        <f t="shared" si="10"/>
        <v>32945</v>
      </c>
      <c r="AP52" s="5"/>
      <c r="AR52" s="31"/>
    </row>
    <row r="53" spans="24:44" ht="15">
      <c r="X53" s="33"/>
      <c r="Y53" s="5"/>
      <c r="Z53" s="5"/>
      <c r="AA53" s="5"/>
      <c r="AB53" s="5"/>
      <c r="AC53" s="5"/>
      <c r="AD53" s="5"/>
      <c r="AE53" s="251" t="s">
        <v>2854</v>
      </c>
      <c r="AF53" s="5">
        <f>SUM(Y51:AE51)</f>
        <v>86525</v>
      </c>
      <c r="AG53" s="5"/>
      <c r="AH53" s="34" t="s">
        <v>1</v>
      </c>
      <c r="AI53" s="34">
        <f>Z51</f>
        <v>2670</v>
      </c>
      <c r="AJ53" s="34">
        <f>AA51</f>
        <v>515</v>
      </c>
      <c r="AK53" s="37">
        <f>AB51</f>
        <v>5395</v>
      </c>
      <c r="AL53" s="37">
        <f>SUM(Y51, AC51:AD51)</f>
        <v>3985</v>
      </c>
      <c r="AM53" s="37">
        <f>SUM(Y51:AD51)</f>
        <v>12565</v>
      </c>
      <c r="AN53" s="37">
        <f>AE51</f>
        <v>73960</v>
      </c>
      <c r="AO53" s="37">
        <f>AF51</f>
        <v>86525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0.60486891385767794</v>
      </c>
      <c r="AJ55" s="6">
        <f t="shared" ref="AJ55:AO55" si="11">AJ51/AJ$53</f>
        <v>0.23300970873786409</v>
      </c>
      <c r="AK55" s="6">
        <f t="shared" si="11"/>
        <v>0.40037071362372567</v>
      </c>
      <c r="AL55" s="6">
        <f t="shared" si="11"/>
        <v>0.45294855708908405</v>
      </c>
      <c r="AM55" s="6">
        <f t="shared" si="11"/>
        <v>0.45364106645443691</v>
      </c>
      <c r="AN55" s="6">
        <f t="shared" si="11"/>
        <v>0.64737696051919957</v>
      </c>
      <c r="AO55" s="6">
        <f t="shared" si="11"/>
        <v>0.61924299335452182</v>
      </c>
      <c r="AP55" s="5"/>
    </row>
    <row r="56" spans="24:44" ht="15">
      <c r="AG56" s="5"/>
      <c r="AH56" s="33" t="s">
        <v>4</v>
      </c>
      <c r="AI56" s="6">
        <f>AI52/AI$53</f>
        <v>0.39513108614232212</v>
      </c>
      <c r="AJ56" s="6">
        <f t="shared" ref="AJ56:AO56" si="12">AJ52/AJ$53</f>
        <v>0.76699029126213591</v>
      </c>
      <c r="AK56" s="6">
        <f t="shared" si="12"/>
        <v>0.59962928637627433</v>
      </c>
      <c r="AL56" s="6">
        <f t="shared" si="12"/>
        <v>0.5470514429109159</v>
      </c>
      <c r="AM56" s="6">
        <f t="shared" si="12"/>
        <v>0.54635893354556309</v>
      </c>
      <c r="AN56" s="6">
        <f t="shared" si="12"/>
        <v>0.35262303948080043</v>
      </c>
      <c r="AO56" s="6">
        <f t="shared" si="12"/>
        <v>0.38075700664547818</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1615</v>
      </c>
      <c r="AJ62" s="37">
        <f>AA66</f>
        <v>120</v>
      </c>
      <c r="AK62" s="37">
        <f>AB66</f>
        <v>2160</v>
      </c>
      <c r="AL62" s="37">
        <f>SUM(Y66,AC66:AD66)</f>
        <v>1805</v>
      </c>
      <c r="AM62" s="37">
        <f>SUM(Y66:AD66)</f>
        <v>5700</v>
      </c>
      <c r="AN62" s="37">
        <f>AE66</f>
        <v>47880</v>
      </c>
      <c r="AO62" s="37">
        <f>AF66</f>
        <v>53580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880</v>
      </c>
      <c r="Z66" s="2">
        <v>1615</v>
      </c>
      <c r="AA66" s="2">
        <v>120</v>
      </c>
      <c r="AB66" s="2">
        <v>2160</v>
      </c>
      <c r="AC66" s="2">
        <v>855</v>
      </c>
      <c r="AD66" s="2">
        <v>70</v>
      </c>
      <c r="AE66" s="2">
        <v>47880</v>
      </c>
      <c r="AF66" s="2">
        <v>53580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Bellingham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1055</v>
      </c>
      <c r="AJ73" s="37">
        <f>AA77</f>
        <v>395</v>
      </c>
      <c r="AK73" s="37">
        <f>AB77</f>
        <v>3235</v>
      </c>
      <c r="AL73" s="37">
        <f>SUM(Y77, AC77:AD77)</f>
        <v>2180</v>
      </c>
      <c r="AM73" s="37">
        <f>SUM(Y77:AD77)</f>
        <v>6865</v>
      </c>
      <c r="AN73" s="37">
        <f>AE77</f>
        <v>26080</v>
      </c>
      <c r="AO73" s="37">
        <f>AF77</f>
        <v>32945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880</v>
      </c>
      <c r="Z77" s="2">
        <v>1055</v>
      </c>
      <c r="AA77" s="2">
        <v>395</v>
      </c>
      <c r="AB77" s="2">
        <v>3235</v>
      </c>
      <c r="AC77" s="2">
        <v>1180</v>
      </c>
      <c r="AD77" s="2">
        <v>120</v>
      </c>
      <c r="AE77" s="2">
        <v>26080</v>
      </c>
      <c r="AF77" s="2">
        <v>32945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Bellingham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www.w3.org/XML/1998/namespace"/>
    <ds:schemaRef ds:uri="http://purl.org/dc/terms/"/>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schemas.microsoft.com/office/infopath/2007/PartnerControls"/>
    <ds:schemaRef ds:uri="08070d79-41db-40ac-93d9-3fd8f1a76dba"/>
    <ds:schemaRef ds:uri="8556b74b-f608-4f00-b474-15eeb07aa725"/>
    <ds:schemaRef ds:uri="http://purl.org/dc/elements/1.1/"/>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2023-10-24T20:20:53Z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