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charts/chart5.xml" ContentType="application/vnd.openxmlformats-officedocument.drawingml.chart+xml"/>
  <Override PartName="/xl/drawings/drawing5.xml" ContentType="application/vnd.openxmlformats-officedocument.drawing+xml"/>
  <Override PartName="/xl/charts/chart6.xml" ContentType="application/vnd.openxmlformats-officedocument.drawingml.chart+xml"/>
  <Override PartName="/xl/theme/themeOverride1.xml" ContentType="application/vnd.openxmlformats-officedocument.themeOverride+xml"/>
  <Override PartName="/xl/drawings/drawing6.xml" ContentType="application/vnd.openxmlformats-officedocument.drawingml.chartshapes+xml"/>
  <Override PartName="/xl/charts/chart7.xml" ContentType="application/vnd.openxmlformats-officedocument.drawingml.chart+xml"/>
  <Override PartName="/xl/theme/themeOverride2.xml" ContentType="application/vnd.openxmlformats-officedocument.themeOverride+xml"/>
  <Override PartName="/xl/drawings/drawing7.xml" ContentType="application/vnd.openxmlformats-officedocument.drawingml.chartshapes+xml"/>
  <Override PartName="/xl/charts/chart8.xml" ContentType="application/vnd.openxmlformats-officedocument.drawingml.chart+xml"/>
  <Override PartName="/xl/drawings/drawing8.xml" ContentType="application/vnd.openxmlformats-officedocument.drawingml.chartshapes+xml"/>
  <Override PartName="/xl/charts/chart9.xml" ContentType="application/vnd.openxmlformats-officedocument.drawingml.chart+xml"/>
  <Override PartName="/xl/drawings/drawing9.xml" ContentType="application/vnd.openxmlformats-officedocument.drawingml.chartshapes+xml"/>
  <Override PartName="/xl/charts/chart10.xml" ContentType="application/vnd.openxmlformats-officedocument.drawingml.chart+xml"/>
  <Override PartName="/xl/theme/themeOverride3.xml" ContentType="application/vnd.openxmlformats-officedocument.themeOverride+xml"/>
  <Override PartName="/xl/drawings/drawing10.xml" ContentType="application/vnd.openxmlformats-officedocument.drawingml.chartshapes+xml"/>
  <Override PartName="/xl/charts/chart11.xml" ContentType="application/vnd.openxmlformats-officedocument.drawingml.chart+xml"/>
  <Override PartName="/xl/theme/themeOverride4.xml" ContentType="application/vnd.openxmlformats-officedocument.themeOverride+xml"/>
  <Override PartName="/xl/drawings/drawing11.xml" ContentType="application/vnd.openxmlformats-officedocument.drawingml.chartshapes+xml"/>
  <Override PartName="/xl/charts/chart12.xml" ContentType="application/vnd.openxmlformats-officedocument.drawingml.chart+xml"/>
  <Override PartName="/xl/theme/themeOverride5.xml" ContentType="application/vnd.openxmlformats-officedocument.themeOverride+xml"/>
  <Override PartName="/xl/drawings/drawing12.xml" ContentType="application/vnd.openxmlformats-officedocument.drawingml.chartshapes+xml"/>
  <Override PartName="/xl/charts/chart13.xml" ContentType="application/vnd.openxmlformats-officedocument.drawingml.chart+xml"/>
  <Override PartName="/xl/theme/themeOverride6.xml" ContentType="application/vnd.openxmlformats-officedocument.themeOverride+xml"/>
  <Override PartName="/xl/drawings/drawing13.xml" ContentType="application/vnd.openxmlformats-officedocument.drawingml.chartshapes+xml"/>
  <Override PartName="/xl/charts/chart14.xml" ContentType="application/vnd.openxmlformats-officedocument.drawingml.chart+xml"/>
  <Override PartName="/xl/drawings/drawing14.xml" ContentType="application/vnd.openxmlformats-officedocument.drawingml.chartshapes+xml"/>
  <Override PartName="/xl/charts/chart15.xml" ContentType="application/vnd.openxmlformats-officedocument.drawingml.chart+xml"/>
  <Override PartName="/xl/drawings/drawing15.xml" ContentType="application/vnd.openxmlformats-officedocument.drawingml.chartshapes+xml"/>
  <Override PartName="/xl/charts/chart16.xml" ContentType="application/vnd.openxmlformats-officedocument.drawingml.chart+xml"/>
  <Override PartName="/xl/drawings/drawing16.xml" ContentType="application/vnd.openxmlformats-officedocument.drawingml.chartshapes+xml"/>
  <Override PartName="/xl/charts/chart17.xml" ContentType="application/vnd.openxmlformats-officedocument.drawingml.chart+xml"/>
  <Override PartName="/xl/drawings/drawing17.xml" ContentType="application/vnd.openxmlformats-officedocument.drawingml.chartshapes+xml"/>
  <Override PartName="/xl/drawings/drawing18.xml" ContentType="application/vnd.openxmlformats-officedocument.drawing+xml"/>
  <Override PartName="/xl/charts/chart18.xml" ContentType="application/vnd.openxmlformats-officedocument.drawingml.chart+xml"/>
  <Override PartName="/xl/drawings/drawing19.xml" ContentType="application/vnd.openxmlformats-officedocument.drawingml.chartshapes+xml"/>
  <Override PartName="/xl/charts/chart19.xml" ContentType="application/vnd.openxmlformats-officedocument.drawingml.chart+xml"/>
  <Override PartName="/xl/drawings/drawing20.xml" ContentType="application/vnd.openxmlformats-officedocument.drawingml.chartshapes+xml"/>
  <Override PartName="/xl/charts/chart20.xml" ContentType="application/vnd.openxmlformats-officedocument.drawingml.chart+xml"/>
  <Override PartName="/xl/drawings/drawing21.xml" ContentType="application/vnd.openxmlformats-officedocument.drawingml.chartshapes+xml"/>
  <Override PartName="/xl/drawings/drawing22.xml" ContentType="application/vnd.openxmlformats-officedocument.drawing+xml"/>
  <Override PartName="/xl/charts/chart21.xml" ContentType="application/vnd.openxmlformats-officedocument.drawingml.chart+xml"/>
  <Override PartName="/xl/drawings/drawing23.xml" ContentType="application/vnd.openxmlformats-officedocument.drawingml.chartshapes+xml"/>
  <Override PartName="/xl/charts/chart22.xml" ContentType="application/vnd.openxmlformats-officedocument.drawingml.chart+xml"/>
  <Override PartName="/xl/charts/chart23.xml" ContentType="application/vnd.openxmlformats-officedocument.drawingml.chart+xml"/>
  <Override PartName="/xl/drawings/drawing24.xml" ContentType="application/vnd.openxmlformats-officedocument.drawingml.chartshapes+xml"/>
  <Override PartName="/xl/charts/chart24.xml" ContentType="application/vnd.openxmlformats-officedocument.drawingml.chart+xml"/>
  <Override PartName="/xl/charts/chart25.xml" ContentType="application/vnd.openxmlformats-officedocument.drawingml.chart+xml"/>
  <Override PartName="/xl/drawings/drawing25.xml" ContentType="application/vnd.openxmlformats-officedocument.drawingml.chartshapes+xml"/>
  <Override PartName="/xl/drawings/drawing26.xml" ContentType="application/vnd.openxmlformats-officedocument.drawing+xml"/>
  <Override PartName="/xl/charts/chart26.xml" ContentType="application/vnd.openxmlformats-officedocument.drawingml.chart+xml"/>
  <Override PartName="/xl/charts/style3.xml" ContentType="application/vnd.ms-office.chartstyle+xml"/>
  <Override PartName="/xl/charts/colors3.xml" ContentType="application/vnd.ms-office.chartcolorstyle+xml"/>
  <Override PartName="/xl/charts/chart27.xml" ContentType="application/vnd.openxmlformats-officedocument.drawingml.chart+xml"/>
  <Override PartName="/xl/charts/style4.xml" ContentType="application/vnd.ms-office.chartstyle+xml"/>
  <Override PartName="/xl/charts/colors4.xml" ContentType="application/vnd.ms-office.chartcolorstyle+xml"/>
  <Override PartName="/xl/charts/chart28.xml" ContentType="application/vnd.openxmlformats-officedocument.drawingml.chart+xml"/>
  <Override PartName="/xl/charts/style5.xml" ContentType="application/vnd.ms-office.chartstyle+xml"/>
  <Override PartName="/xl/charts/colors5.xml" ContentType="application/vnd.ms-office.chartcolorstyle+xml"/>
  <Override PartName="/xl/charts/chart29.xml" ContentType="application/vnd.openxmlformats-officedocument.drawingml.chart+xml"/>
  <Override PartName="/xl/charts/style6.xml" ContentType="application/vnd.ms-office.chartstyle+xml"/>
  <Override PartName="/xl/charts/colors6.xml" ContentType="application/vnd.ms-office.chartcolorstyle+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2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hidePivotFieldList="1"/>
  <mc:AlternateContent xmlns:mc="http://schemas.openxmlformats.org/markup-compatibility/2006">
    <mc:Choice Requires="x15">
      <x15ac:absPath xmlns:x15ac="http://schemas.microsoft.com/office/spreadsheetml/2010/11/ac" url="S:\Gmu\GMS HOUSING PROGRAMS\HB 1220 IMPLEMENTATION\03_RDI Data\Exports\2026 RDI Exports\"/>
    </mc:Choice>
  </mc:AlternateContent>
  <bookViews>
    <workbookView xWindow="-120" yWindow="-120" windowWidth="38640" windowHeight="21240" tabRatio="814"/>
  </bookViews>
  <sheets>
    <sheet name="About" sheetId="287" r:id="rId1"/>
    <sheet name="Inputs" sheetId="25" r:id="rId2"/>
    <sheet name="Readme" sheetId="298" r:id="rId3"/>
    <sheet name="Racial Composition" sheetId="282" r:id="rId4"/>
    <sheet name="Cost Burden" sheetId="283" r:id="rId5"/>
    <sheet name="Rental Affordability" sheetId="284" r:id="rId6"/>
    <sheet name="Income" sheetId="297" r:id="rId7"/>
    <sheet name="Tenure" sheetId="286" r:id="rId8"/>
    <sheet name="GEOID" sheetId="174" state="hidden" r:id="rId9"/>
    <sheet name="Census Places" sheetId="242" state="hidden" r:id="rId10"/>
    <sheet name="Census Counties" sheetId="257" state="hidden" r:id="rId11"/>
    <sheet name="CHAS (variable list)" sheetId="198" state="hidden" r:id="rId12"/>
    <sheet name="CHAS (metadata)" sheetId="196" state="hidden" r:id="rId13"/>
  </sheets>
  <definedNames>
    <definedName name="_xlnm._FilterDatabase" localSheetId="6" hidden="1">#REF!</definedName>
    <definedName name="City">Inputs!$C$6</definedName>
    <definedName name="City_label">Inputs!$C$14</definedName>
    <definedName name="County">Inputs!$C$7</definedName>
    <definedName name="County_label">Inputs!$C$15</definedName>
    <definedName name="GEOID_City">Inputs!$C$8</definedName>
    <definedName name="GEOID_City_CHAS">Inputs!$C$11</definedName>
    <definedName name="GEOID_County">Inputs!$C$9</definedName>
    <definedName name="GEOID_County_CHAS">Inputs!$C$12</definedName>
    <definedName name="MOE_Threshold">Inputs!$C$17</definedName>
    <definedName name="Place_ACS">Inputs!$C$6</definedName>
    <definedName name="_xlnm.Print_Area" localSheetId="4">'Cost Burden'!$C$2:$M$335</definedName>
    <definedName name="_xlnm.Print_Area" localSheetId="6">Income!$B$3:$J$212</definedName>
    <definedName name="_xlnm.Print_Area" localSheetId="3">'Racial Composition'!$C$3:$M$162</definedName>
    <definedName name="_xlnm.Print_Area" localSheetId="2">Readme!$A$1:$J$97,Readme!$L$1:$U$102</definedName>
    <definedName name="_xlnm.Print_Area" localSheetId="5">'Rental Affordability'!$C$3:$L$112</definedName>
    <definedName name="_xlnm.Print_Area" localSheetId="7">Tenure!$B$3:$K$111</definedName>
    <definedName name="WA_CDPs_Range">WA_CDPs[NAME]</definedName>
    <definedName name="WA_Counties_Range">WA_Counties[NAME]</definedName>
    <definedName name="WA_places" localSheetId="10">WA_CDPs[NAME]</definedName>
    <definedName name="WA_places">WA_CDPs[NAME]</definedName>
  </definedNames>
  <calcPr calcId="162913"/>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H48" i="297" l="1"/>
  <c r="X44" i="286"/>
  <c r="X8" i="286"/>
  <c r="AH51" i="297" l="1"/>
  <c r="C11" i="283"/>
  <c r="G15" i="284"/>
  <c r="F8" i="297"/>
  <c r="C14" i="25"/>
  <c r="B23" i="297"/>
  <c r="B24" i="297"/>
  <c r="B25" i="297"/>
  <c r="B26" i="297"/>
  <c r="B22" i="297"/>
  <c r="B15" i="297"/>
  <c r="B16" i="297"/>
  <c r="B17" i="297"/>
  <c r="B18" i="297"/>
  <c r="B14" i="297"/>
  <c r="B12" i="297"/>
  <c r="B128" i="297"/>
  <c r="B140" i="297"/>
  <c r="C78" i="284" l="1"/>
  <c r="C45" i="284"/>
  <c r="C148" i="283"/>
  <c r="C124" i="283"/>
  <c r="B69" i="286"/>
  <c r="B95" i="286"/>
  <c r="B116" i="25" s="1"/>
  <c r="B47" i="286"/>
  <c r="B22" i="286"/>
  <c r="H8" i="286"/>
  <c r="E8" i="286"/>
  <c r="B5" i="286"/>
  <c r="B84" i="25" s="1"/>
  <c r="B100" i="297"/>
  <c r="B78" i="297"/>
  <c r="B146" i="297"/>
  <c r="B119" i="297"/>
  <c r="B55" i="297"/>
  <c r="B31" i="297"/>
  <c r="B6" i="297"/>
  <c r="AH55" i="297"/>
  <c r="AH54" i="297"/>
  <c r="AH53" i="297"/>
  <c r="AH52" i="297"/>
  <c r="AH56" i="297" s="1"/>
  <c r="AJ47" i="297"/>
  <c r="B172" i="297"/>
  <c r="J8" i="297"/>
  <c r="H8" i="297"/>
  <c r="C8" i="297"/>
  <c r="G8" i="297"/>
  <c r="D8" i="297"/>
  <c r="E8" i="297"/>
  <c r="AB5" i="297"/>
  <c r="B40" i="257" l="1"/>
  <c r="B39" i="257"/>
  <c r="B38" i="257"/>
  <c r="B37" i="257"/>
  <c r="B36" i="257"/>
  <c r="B35" i="257"/>
  <c r="B34" i="257"/>
  <c r="B33" i="257"/>
  <c r="B32" i="257"/>
  <c r="B31" i="257"/>
  <c r="B30" i="257"/>
  <c r="B29" i="257"/>
  <c r="B28" i="257"/>
  <c r="B27" i="257"/>
  <c r="B26" i="257"/>
  <c r="B25" i="257"/>
  <c r="B24" i="257"/>
  <c r="B23" i="257"/>
  <c r="B22" i="257"/>
  <c r="B21" i="257"/>
  <c r="B20" i="257"/>
  <c r="B19" i="257"/>
  <c r="B18" i="257"/>
  <c r="B17" i="257"/>
  <c r="B16" i="257"/>
  <c r="B15" i="257"/>
  <c r="B14" i="257"/>
  <c r="B13" i="257"/>
  <c r="B12" i="257"/>
  <c r="B11" i="257"/>
  <c r="B10" i="257"/>
  <c r="B9" i="257"/>
  <c r="B8" i="257"/>
  <c r="B7" i="257"/>
  <c r="B6" i="257"/>
  <c r="B5" i="257"/>
  <c r="B4" i="257"/>
  <c r="B3" i="257"/>
  <c r="B2" i="257"/>
  <c r="B640" i="242"/>
  <c r="B639" i="242"/>
  <c r="B638" i="242"/>
  <c r="B637" i="242"/>
  <c r="B636" i="242"/>
  <c r="B635" i="242"/>
  <c r="B634" i="242"/>
  <c r="B633" i="242"/>
  <c r="B632" i="242"/>
  <c r="B631" i="242"/>
  <c r="B630" i="242"/>
  <c r="B629" i="242"/>
  <c r="B628" i="242"/>
  <c r="B627" i="242"/>
  <c r="B626" i="242"/>
  <c r="B625" i="242"/>
  <c r="B624" i="242"/>
  <c r="B623" i="242"/>
  <c r="B622" i="242"/>
  <c r="B621" i="242"/>
  <c r="B620" i="242"/>
  <c r="B619" i="242"/>
  <c r="B618" i="242"/>
  <c r="B617" i="242"/>
  <c r="B616" i="242"/>
  <c r="B615" i="242"/>
  <c r="B614" i="242"/>
  <c r="B613" i="242"/>
  <c r="B612" i="242"/>
  <c r="B611" i="242"/>
  <c r="B610" i="242"/>
  <c r="B609" i="242"/>
  <c r="B608" i="242"/>
  <c r="B607" i="242"/>
  <c r="B606" i="242"/>
  <c r="B605" i="242"/>
  <c r="B604" i="242"/>
  <c r="B603" i="242"/>
  <c r="B602" i="242"/>
  <c r="B601" i="242"/>
  <c r="B600" i="242"/>
  <c r="B599" i="242"/>
  <c r="B598" i="242"/>
  <c r="B597" i="242"/>
  <c r="B596" i="242"/>
  <c r="B595" i="242"/>
  <c r="B594" i="242"/>
  <c r="B593" i="242"/>
  <c r="B592" i="242"/>
  <c r="B591" i="242"/>
  <c r="B590" i="242"/>
  <c r="B589" i="242"/>
  <c r="B588" i="242"/>
  <c r="B587" i="242"/>
  <c r="B586" i="242"/>
  <c r="B585" i="242"/>
  <c r="B584" i="242"/>
  <c r="B583" i="242"/>
  <c r="B582" i="242"/>
  <c r="B581" i="242"/>
  <c r="B580" i="242"/>
  <c r="B579" i="242"/>
  <c r="B578" i="242"/>
  <c r="B577" i="242"/>
  <c r="B576" i="242"/>
  <c r="B575" i="242"/>
  <c r="B574" i="242"/>
  <c r="B573" i="242"/>
  <c r="B572" i="242"/>
  <c r="B571" i="242"/>
  <c r="B570" i="242"/>
  <c r="B569" i="242"/>
  <c r="B568" i="242"/>
  <c r="B567" i="242"/>
  <c r="B566" i="242"/>
  <c r="B565" i="242"/>
  <c r="B564" i="242"/>
  <c r="B563" i="242"/>
  <c r="B562" i="242"/>
  <c r="B561" i="242"/>
  <c r="B560" i="242"/>
  <c r="B559" i="242"/>
  <c r="B558" i="242"/>
  <c r="B557" i="242"/>
  <c r="B556" i="242"/>
  <c r="B555" i="242"/>
  <c r="B554" i="242"/>
  <c r="B553" i="242"/>
  <c r="B552" i="242"/>
  <c r="B551" i="242"/>
  <c r="B550" i="242"/>
  <c r="B549" i="242"/>
  <c r="B548" i="242"/>
  <c r="B547" i="242"/>
  <c r="B546" i="242"/>
  <c r="B545" i="242"/>
  <c r="B544" i="242"/>
  <c r="B543" i="242"/>
  <c r="B542" i="242"/>
  <c r="B541" i="242"/>
  <c r="B540" i="242"/>
  <c r="B539" i="242"/>
  <c r="B538" i="242"/>
  <c r="B537" i="242"/>
  <c r="B536" i="242"/>
  <c r="B535" i="242"/>
  <c r="B534" i="242"/>
  <c r="B533" i="242"/>
  <c r="B532" i="242"/>
  <c r="B531" i="242"/>
  <c r="B530" i="242"/>
  <c r="B529" i="242"/>
  <c r="B528" i="242"/>
  <c r="B527" i="242"/>
  <c r="B526" i="242"/>
  <c r="B525" i="242"/>
  <c r="B524" i="242"/>
  <c r="B523" i="242"/>
  <c r="B522" i="242"/>
  <c r="B521" i="242"/>
  <c r="B520" i="242"/>
  <c r="B519" i="242"/>
  <c r="B518" i="242"/>
  <c r="B517" i="242"/>
  <c r="B516" i="242"/>
  <c r="B515" i="242"/>
  <c r="B514" i="242"/>
  <c r="B513" i="242"/>
  <c r="B512" i="242"/>
  <c r="B511" i="242"/>
  <c r="B510" i="242"/>
  <c r="B509" i="242"/>
  <c r="B508" i="242"/>
  <c r="B507" i="242"/>
  <c r="B506" i="242"/>
  <c r="B505" i="242"/>
  <c r="B504" i="242"/>
  <c r="B503" i="242"/>
  <c r="B502" i="242"/>
  <c r="B501" i="242"/>
  <c r="B500" i="242"/>
  <c r="B499" i="242"/>
  <c r="B498" i="242"/>
  <c r="B497" i="242"/>
  <c r="B496" i="242"/>
  <c r="B495" i="242"/>
  <c r="B494" i="242"/>
  <c r="B493" i="242"/>
  <c r="B492" i="242"/>
  <c r="B491" i="242"/>
  <c r="B490" i="242"/>
  <c r="B489" i="242"/>
  <c r="B488" i="242"/>
  <c r="B487" i="242"/>
  <c r="B486" i="242"/>
  <c r="B485" i="242"/>
  <c r="B484" i="242"/>
  <c r="B483" i="242"/>
  <c r="B482" i="242"/>
  <c r="B481" i="242"/>
  <c r="B480" i="242"/>
  <c r="B479" i="242"/>
  <c r="B478" i="242"/>
  <c r="B477" i="242"/>
  <c r="B476" i="242"/>
  <c r="B475" i="242"/>
  <c r="B474" i="242"/>
  <c r="B473" i="242"/>
  <c r="B472" i="242"/>
  <c r="B471" i="242"/>
  <c r="B470" i="242"/>
  <c r="B469" i="242"/>
  <c r="B468" i="242"/>
  <c r="B467" i="242"/>
  <c r="B466" i="242"/>
  <c r="B465" i="242"/>
  <c r="B464" i="242"/>
  <c r="B463" i="242"/>
  <c r="B462" i="242"/>
  <c r="B461" i="242"/>
  <c r="B460" i="242"/>
  <c r="B459" i="242"/>
  <c r="B458" i="242"/>
  <c r="B457" i="242"/>
  <c r="B456" i="242"/>
  <c r="B455" i="242"/>
  <c r="B454" i="242"/>
  <c r="B453" i="242"/>
  <c r="B452" i="242"/>
  <c r="B451" i="242"/>
  <c r="B450" i="242"/>
  <c r="B449" i="242"/>
  <c r="B448" i="242"/>
  <c r="B447" i="242"/>
  <c r="B446" i="242"/>
  <c r="B445" i="242"/>
  <c r="B444" i="242"/>
  <c r="B443" i="242"/>
  <c r="B442" i="242"/>
  <c r="B441" i="242"/>
  <c r="B440" i="242"/>
  <c r="B439" i="242"/>
  <c r="B438" i="242"/>
  <c r="B437" i="242"/>
  <c r="B436" i="242"/>
  <c r="B435" i="242"/>
  <c r="B434" i="242"/>
  <c r="B433" i="242"/>
  <c r="B432" i="242"/>
  <c r="B431" i="242"/>
  <c r="B430" i="242"/>
  <c r="B429" i="242"/>
  <c r="B428" i="242"/>
  <c r="B427" i="242"/>
  <c r="B426" i="242"/>
  <c r="B425" i="242"/>
  <c r="B424" i="242"/>
  <c r="B423" i="242"/>
  <c r="B422" i="242"/>
  <c r="B421" i="242"/>
  <c r="B420" i="242"/>
  <c r="B419" i="242"/>
  <c r="B418" i="242"/>
  <c r="B417" i="242"/>
  <c r="B416" i="242"/>
  <c r="B415" i="242"/>
  <c r="B414" i="242"/>
  <c r="B413" i="242"/>
  <c r="B412" i="242"/>
  <c r="B411" i="242"/>
  <c r="B410" i="242"/>
  <c r="B409" i="242"/>
  <c r="B408" i="242"/>
  <c r="B407" i="242"/>
  <c r="B406" i="242"/>
  <c r="B405" i="242"/>
  <c r="B404" i="242"/>
  <c r="B403" i="242"/>
  <c r="B402" i="242"/>
  <c r="B401" i="242"/>
  <c r="B400" i="242"/>
  <c r="B399" i="242"/>
  <c r="B398" i="242"/>
  <c r="B397" i="242"/>
  <c r="B396" i="242"/>
  <c r="B395" i="242"/>
  <c r="B394" i="242"/>
  <c r="B393" i="242"/>
  <c r="B392" i="242"/>
  <c r="B391" i="242"/>
  <c r="B390" i="242"/>
  <c r="B389" i="242"/>
  <c r="B388" i="242"/>
  <c r="B387" i="242"/>
  <c r="B386" i="242"/>
  <c r="B385" i="242"/>
  <c r="B384" i="242"/>
  <c r="B383" i="242"/>
  <c r="B382" i="242"/>
  <c r="B381" i="242"/>
  <c r="B380" i="242"/>
  <c r="B379" i="242"/>
  <c r="B378" i="242"/>
  <c r="B377" i="242"/>
  <c r="B376" i="242"/>
  <c r="B375" i="242"/>
  <c r="B374" i="242"/>
  <c r="B373" i="242"/>
  <c r="B372" i="242"/>
  <c r="B371" i="242"/>
  <c r="B370" i="242"/>
  <c r="B369" i="242"/>
  <c r="B368" i="242"/>
  <c r="B367" i="242"/>
  <c r="B366" i="242"/>
  <c r="B365" i="242"/>
  <c r="B364" i="242"/>
  <c r="B363" i="242"/>
  <c r="B362" i="242"/>
  <c r="B361" i="242"/>
  <c r="B360" i="242"/>
  <c r="B359" i="242"/>
  <c r="B358" i="242"/>
  <c r="B357" i="242"/>
  <c r="B356" i="242"/>
  <c r="B355" i="242"/>
  <c r="B354" i="242"/>
  <c r="B353" i="242"/>
  <c r="B352" i="242"/>
  <c r="B351" i="242"/>
  <c r="B350" i="242"/>
  <c r="B349" i="242"/>
  <c r="B348" i="242"/>
  <c r="B347" i="242"/>
  <c r="B346" i="242"/>
  <c r="B345" i="242"/>
  <c r="B344" i="242"/>
  <c r="B343" i="242"/>
  <c r="B342" i="242"/>
  <c r="B341" i="242"/>
  <c r="B340" i="242"/>
  <c r="B339" i="242"/>
  <c r="B338" i="242"/>
  <c r="B337" i="242"/>
  <c r="B336" i="242"/>
  <c r="B335" i="242"/>
  <c r="B334" i="242"/>
  <c r="B333" i="242"/>
  <c r="B332" i="242"/>
  <c r="B331" i="242"/>
  <c r="B330" i="242"/>
  <c r="B329" i="242"/>
  <c r="B328" i="242"/>
  <c r="B327" i="242"/>
  <c r="B326" i="242"/>
  <c r="B325" i="242"/>
  <c r="B324" i="242"/>
  <c r="B323" i="242"/>
  <c r="B322" i="242"/>
  <c r="B321" i="242"/>
  <c r="B320" i="242"/>
  <c r="B319" i="242"/>
  <c r="B318" i="242"/>
  <c r="B317" i="242"/>
  <c r="B316" i="242"/>
  <c r="B315" i="242"/>
  <c r="B314" i="242"/>
  <c r="B313" i="242"/>
  <c r="B312" i="242"/>
  <c r="B311" i="242"/>
  <c r="B310" i="242"/>
  <c r="B309" i="242"/>
  <c r="B308" i="242"/>
  <c r="B307" i="242"/>
  <c r="B306" i="242"/>
  <c r="B305" i="242"/>
  <c r="B304" i="242"/>
  <c r="B303" i="242"/>
  <c r="B302" i="242"/>
  <c r="B301" i="242"/>
  <c r="B300" i="242"/>
  <c r="B299" i="242"/>
  <c r="B298" i="242"/>
  <c r="B297" i="242"/>
  <c r="B296" i="242"/>
  <c r="B295" i="242"/>
  <c r="B294" i="242"/>
  <c r="B293" i="242"/>
  <c r="B292" i="242"/>
  <c r="B291" i="242"/>
  <c r="B290" i="242"/>
  <c r="B289" i="242"/>
  <c r="B288" i="242"/>
  <c r="B287" i="242"/>
  <c r="B286" i="242"/>
  <c r="B285" i="242"/>
  <c r="B284" i="242"/>
  <c r="B283" i="242"/>
  <c r="B282" i="242"/>
  <c r="B281" i="242"/>
  <c r="B280" i="242"/>
  <c r="B279" i="242"/>
  <c r="B278" i="242"/>
  <c r="B277" i="242"/>
  <c r="B276" i="242"/>
  <c r="B275" i="242"/>
  <c r="B274" i="242"/>
  <c r="B273" i="242"/>
  <c r="B272" i="242"/>
  <c r="B271" i="242"/>
  <c r="B270" i="242"/>
  <c r="B269" i="242"/>
  <c r="B268" i="242"/>
  <c r="B267" i="242"/>
  <c r="B266" i="242"/>
  <c r="B265" i="242"/>
  <c r="B264" i="242"/>
  <c r="B263" i="242"/>
  <c r="B262" i="242"/>
  <c r="B261" i="242"/>
  <c r="B260" i="242"/>
  <c r="B259" i="242"/>
  <c r="B258" i="242"/>
  <c r="B257" i="242"/>
  <c r="B256" i="242"/>
  <c r="B255" i="242"/>
  <c r="B254" i="242"/>
  <c r="B253" i="242"/>
  <c r="B252" i="242"/>
  <c r="B251" i="242"/>
  <c r="B250" i="242"/>
  <c r="B249" i="242"/>
  <c r="B248" i="242"/>
  <c r="B247" i="242"/>
  <c r="B246" i="242"/>
  <c r="B245" i="242"/>
  <c r="B244" i="242"/>
  <c r="B243" i="242"/>
  <c r="B242" i="242"/>
  <c r="B241" i="242"/>
  <c r="B240" i="242"/>
  <c r="B239" i="242"/>
  <c r="B238" i="242"/>
  <c r="B237" i="242"/>
  <c r="B236" i="242"/>
  <c r="B235" i="242"/>
  <c r="B234" i="242"/>
  <c r="B233" i="242"/>
  <c r="B232" i="242"/>
  <c r="B231" i="242"/>
  <c r="B230" i="242"/>
  <c r="B229" i="242"/>
  <c r="B228" i="242"/>
  <c r="B227" i="242"/>
  <c r="B226" i="242"/>
  <c r="B225" i="242"/>
  <c r="B224" i="242"/>
  <c r="B223" i="242"/>
  <c r="B222" i="242"/>
  <c r="B221" i="242"/>
  <c r="B220" i="242"/>
  <c r="B219" i="242"/>
  <c r="B218" i="242"/>
  <c r="B217" i="242"/>
  <c r="B216" i="242"/>
  <c r="B215" i="242"/>
  <c r="B214" i="242"/>
  <c r="B213" i="242"/>
  <c r="B212" i="242"/>
  <c r="B211" i="242"/>
  <c r="B210" i="242"/>
  <c r="B209" i="242"/>
  <c r="B208" i="242"/>
  <c r="B207" i="242"/>
  <c r="B206" i="242"/>
  <c r="B205" i="242"/>
  <c r="B204" i="242"/>
  <c r="B203" i="242"/>
  <c r="B202" i="242"/>
  <c r="B201" i="242"/>
  <c r="B200" i="242"/>
  <c r="B199" i="242"/>
  <c r="B198" i="242"/>
  <c r="B197" i="242"/>
  <c r="B196" i="242"/>
  <c r="B195" i="242"/>
  <c r="B194" i="242"/>
  <c r="B193" i="242"/>
  <c r="B192" i="242"/>
  <c r="B191" i="242"/>
  <c r="B190" i="242"/>
  <c r="B189" i="242"/>
  <c r="B188" i="242"/>
  <c r="B187" i="242"/>
  <c r="B186" i="242"/>
  <c r="B185" i="242"/>
  <c r="B184" i="242"/>
  <c r="B183" i="242"/>
  <c r="B182" i="242"/>
  <c r="B181" i="242"/>
  <c r="B180" i="242"/>
  <c r="B179" i="242"/>
  <c r="B178" i="242"/>
  <c r="B177" i="242"/>
  <c r="B176" i="242"/>
  <c r="B175" i="242"/>
  <c r="B174" i="242"/>
  <c r="B173" i="242"/>
  <c r="B172" i="242"/>
  <c r="B171" i="242"/>
  <c r="B170" i="242"/>
  <c r="B169" i="242"/>
  <c r="B168" i="242"/>
  <c r="B167" i="242"/>
  <c r="B166" i="242"/>
  <c r="B165" i="242"/>
  <c r="B164" i="242"/>
  <c r="B163" i="242"/>
  <c r="B162" i="242"/>
  <c r="B161" i="242"/>
  <c r="B160" i="242"/>
  <c r="B159" i="242"/>
  <c r="B158" i="242"/>
  <c r="B157" i="242"/>
  <c r="B156" i="242"/>
  <c r="B155" i="242"/>
  <c r="B154" i="242"/>
  <c r="B153" i="242"/>
  <c r="B152" i="242"/>
  <c r="B151" i="242"/>
  <c r="B150" i="242"/>
  <c r="B149" i="242"/>
  <c r="B148" i="242"/>
  <c r="B147" i="242"/>
  <c r="B146" i="242"/>
  <c r="B145" i="242"/>
  <c r="B144" i="242"/>
  <c r="B143" i="242"/>
  <c r="B142" i="242"/>
  <c r="B141" i="242"/>
  <c r="B140" i="242"/>
  <c r="B139" i="242"/>
  <c r="B138" i="242"/>
  <c r="B137" i="242"/>
  <c r="B136" i="242"/>
  <c r="B135" i="242"/>
  <c r="B134" i="242"/>
  <c r="B133" i="242"/>
  <c r="B132" i="242"/>
  <c r="B131" i="242"/>
  <c r="B130" i="242"/>
  <c r="B129" i="242"/>
  <c r="B128" i="242"/>
  <c r="B127" i="242"/>
  <c r="B126" i="242"/>
  <c r="B125" i="242"/>
  <c r="B124" i="242"/>
  <c r="B123" i="242"/>
  <c r="B122" i="242"/>
  <c r="B121" i="242"/>
  <c r="B120" i="242"/>
  <c r="B119" i="242"/>
  <c r="B118" i="242"/>
  <c r="B117" i="242"/>
  <c r="B116" i="242"/>
  <c r="B115" i="242"/>
  <c r="B114" i="242"/>
  <c r="B113" i="242"/>
  <c r="B112" i="242"/>
  <c r="B111" i="242"/>
  <c r="B110" i="242"/>
  <c r="B109" i="242"/>
  <c r="B108" i="242"/>
  <c r="B107" i="242"/>
  <c r="B106" i="242"/>
  <c r="B105" i="242"/>
  <c r="B104" i="242"/>
  <c r="B103" i="242"/>
  <c r="B102" i="242"/>
  <c r="B101" i="242"/>
  <c r="B100" i="242"/>
  <c r="B99" i="242"/>
  <c r="B98" i="242"/>
  <c r="B97" i="242"/>
  <c r="B96" i="242"/>
  <c r="B95" i="242"/>
  <c r="B94" i="242"/>
  <c r="B93" i="242"/>
  <c r="B92" i="242"/>
  <c r="B91" i="242"/>
  <c r="B90" i="242"/>
  <c r="B89" i="242"/>
  <c r="B88" i="242"/>
  <c r="B87" i="242"/>
  <c r="B86" i="242"/>
  <c r="B85" i="242"/>
  <c r="B84" i="242"/>
  <c r="B83" i="242"/>
  <c r="B82" i="242"/>
  <c r="B81" i="242"/>
  <c r="B80" i="242"/>
  <c r="B79" i="242"/>
  <c r="B78" i="242"/>
  <c r="B77" i="242"/>
  <c r="B76" i="242"/>
  <c r="B75" i="242"/>
  <c r="B74" i="242"/>
  <c r="B73" i="242"/>
  <c r="B72" i="242"/>
  <c r="B71" i="242"/>
  <c r="B70" i="242"/>
  <c r="B69" i="242"/>
  <c r="B68" i="242"/>
  <c r="B67" i="242"/>
  <c r="B66" i="242"/>
  <c r="B65" i="242"/>
  <c r="B64" i="242"/>
  <c r="B63" i="242"/>
  <c r="B62" i="242"/>
  <c r="B61" i="242"/>
  <c r="B60" i="242"/>
  <c r="B59" i="242"/>
  <c r="B58" i="242"/>
  <c r="B57" i="242"/>
  <c r="B56" i="242"/>
  <c r="B55" i="242"/>
  <c r="B54" i="242"/>
  <c r="B53" i="242"/>
  <c r="B52" i="242"/>
  <c r="B51" i="242"/>
  <c r="B50" i="242"/>
  <c r="B49" i="242"/>
  <c r="B48" i="242"/>
  <c r="B47" i="242"/>
  <c r="B46" i="242"/>
  <c r="B45" i="242"/>
  <c r="B44" i="242"/>
  <c r="B43" i="242"/>
  <c r="B42" i="242"/>
  <c r="B41" i="242"/>
  <c r="B40" i="242"/>
  <c r="B39" i="242"/>
  <c r="B38" i="242"/>
  <c r="B37" i="242"/>
  <c r="B36" i="242"/>
  <c r="B35" i="242"/>
  <c r="B34" i="242"/>
  <c r="B33" i="242"/>
  <c r="B32" i="242"/>
  <c r="B31" i="242"/>
  <c r="B30" i="242"/>
  <c r="B29" i="242"/>
  <c r="B28" i="242"/>
  <c r="B27" i="242"/>
  <c r="B26" i="242"/>
  <c r="B25" i="242"/>
  <c r="B24" i="242"/>
  <c r="B23" i="242"/>
  <c r="B22" i="242"/>
  <c r="B21" i="242"/>
  <c r="B20" i="242"/>
  <c r="B19" i="242"/>
  <c r="B18" i="242"/>
  <c r="B17" i="242"/>
  <c r="B16" i="242"/>
  <c r="B15" i="242"/>
  <c r="B14" i="242"/>
  <c r="B13" i="242"/>
  <c r="B12" i="242"/>
  <c r="B11" i="242"/>
  <c r="B10" i="242"/>
  <c r="B9" i="242"/>
  <c r="B8" i="242"/>
  <c r="B7" i="242"/>
  <c r="B6" i="242"/>
  <c r="B5" i="242"/>
  <c r="B4" i="242"/>
  <c r="B3" i="242"/>
  <c r="B2" i="242"/>
  <c r="Y6" i="286"/>
  <c r="Y5" i="286"/>
  <c r="AB6" i="284"/>
  <c r="AB5" i="284"/>
  <c r="C21" i="283"/>
  <c r="C20" i="283"/>
  <c r="C19" i="283"/>
  <c r="C18" i="283"/>
  <c r="C17" i="283"/>
  <c r="E15" i="283"/>
  <c r="C14" i="283"/>
  <c r="C13" i="283"/>
  <c r="C12" i="283"/>
  <c r="C10" i="283"/>
  <c r="S5" i="283"/>
  <c r="S4" i="283"/>
  <c r="C71" i="282"/>
  <c r="C52" i="282"/>
  <c r="AN36" i="282"/>
  <c r="AM36" i="282"/>
  <c r="AL36" i="282"/>
  <c r="AK36" i="282"/>
  <c r="AH36" i="282"/>
  <c r="AG36" i="282"/>
  <c r="AF36" i="282"/>
  <c r="AE36" i="282"/>
  <c r="L22" i="282"/>
  <c r="C13" i="282"/>
  <c r="C16" i="282"/>
  <c r="C15" i="282"/>
  <c r="C14" i="282"/>
  <c r="C11" i="282"/>
  <c r="C10" i="282"/>
  <c r="C12" i="282"/>
  <c r="C17" i="282"/>
  <c r="AB6" i="282"/>
  <c r="AB5" i="282"/>
  <c r="C15" i="25"/>
  <c r="C272" i="283"/>
  <c r="B102" i="25" s="1"/>
  <c r="C12" i="25"/>
  <c r="C11" i="25"/>
  <c r="C9" i="25"/>
  <c r="C8" i="25"/>
  <c r="AE25" i="283" l="1"/>
  <c r="AG36" i="283"/>
  <c r="AE24" i="283"/>
  <c r="AJ34" i="283"/>
  <c r="AG23" i="283"/>
  <c r="AE35" i="283"/>
  <c r="AG25" i="283"/>
  <c r="AH25" i="283"/>
  <c r="AS54" i="297"/>
  <c r="AG24" i="283"/>
  <c r="AG35" i="283"/>
  <c r="AC36" i="284"/>
  <c r="AH24" i="283"/>
  <c r="AE23" i="283"/>
  <c r="AS53" i="297"/>
  <c r="AS51" i="297"/>
  <c r="AJ24" i="283"/>
  <c r="X36" i="283"/>
  <c r="J11" i="283" s="1"/>
  <c r="AJ35" i="283"/>
  <c r="AC37" i="284"/>
  <c r="AJ23" i="283"/>
  <c r="AE34" i="283"/>
  <c r="AG34" i="283"/>
  <c r="AE36" i="283"/>
  <c r="AJ25" i="283"/>
  <c r="AC35" i="284"/>
  <c r="C20" i="284"/>
  <c r="B105" i="25" s="1"/>
  <c r="C5" i="282"/>
  <c r="B76" i="25" s="1"/>
  <c r="C74" i="282"/>
  <c r="B77" i="25" s="1"/>
  <c r="J8" i="286"/>
  <c r="AM51" i="297"/>
  <c r="AS55" i="297"/>
  <c r="AS52" i="297"/>
  <c r="AC38" i="284"/>
  <c r="AA53" i="283"/>
  <c r="AJ36" i="283"/>
  <c r="AF34" i="283"/>
  <c r="AI34" i="283"/>
  <c r="AF36" i="283"/>
  <c r="AI36" i="283"/>
  <c r="AH34" i="283"/>
  <c r="AH36" i="283"/>
  <c r="AH35" i="283"/>
  <c r="AF35" i="283"/>
  <c r="AI35" i="283"/>
  <c r="AF25" i="283"/>
  <c r="AI25" i="283"/>
  <c r="AH23" i="283"/>
  <c r="AF24" i="283"/>
  <c r="AI24" i="283"/>
  <c r="AF23" i="283"/>
  <c r="AI23" i="283"/>
  <c r="T56" i="283"/>
  <c r="V36" i="283"/>
  <c r="H11" i="283" s="1"/>
  <c r="W36" i="283"/>
  <c r="I11" i="283" s="1"/>
  <c r="Y36" i="283"/>
  <c r="K11" i="283" s="1"/>
  <c r="U36" i="283"/>
  <c r="G11" i="283" s="1"/>
  <c r="Z36" i="283"/>
  <c r="L11" i="283" s="1"/>
  <c r="AA31" i="283"/>
  <c r="AK23" i="283" s="1"/>
  <c r="T36" i="283"/>
  <c r="F11" i="283" s="1"/>
  <c r="AA50" i="283"/>
  <c r="AA52" i="283"/>
  <c r="AA51" i="283"/>
  <c r="AA33" i="283"/>
  <c r="AA32" i="283"/>
  <c r="AA30" i="283"/>
  <c r="AG89" i="297"/>
  <c r="AI89" i="297"/>
  <c r="F15" i="284"/>
  <c r="F14" i="284"/>
  <c r="G10" i="282"/>
  <c r="AK30" i="282"/>
  <c r="AE29" i="282"/>
  <c r="AK29" i="282"/>
  <c r="AK27" i="282"/>
  <c r="AK26" i="282"/>
  <c r="AK28" i="282"/>
  <c r="AL26" i="282"/>
  <c r="AE26" i="282"/>
  <c r="AE27" i="282"/>
  <c r="AE28" i="282"/>
  <c r="AE30" i="282"/>
  <c r="AF26" i="282"/>
  <c r="AH33" i="283"/>
  <c r="AI33" i="283"/>
  <c r="AF30" i="282"/>
  <c r="AJ77" i="297"/>
  <c r="AB6" i="297"/>
  <c r="AG64" i="282"/>
  <c r="AM24" i="282"/>
  <c r="AL10" i="282"/>
  <c r="AO98" i="297"/>
  <c r="AU84" i="297"/>
  <c r="AQ101" i="297"/>
  <c r="AN98" i="297"/>
  <c r="AM99" i="297"/>
  <c r="AU83" i="297"/>
  <c r="AU90" i="297"/>
  <c r="AO102" i="297"/>
  <c r="AT98" i="297"/>
  <c r="AQ99" i="297"/>
  <c r="AU82" i="297"/>
  <c r="AN101" i="297"/>
  <c r="AU94" i="297"/>
  <c r="AT100" i="297"/>
  <c r="AP102" i="297"/>
  <c r="AO99" i="297"/>
  <c r="AU93" i="297"/>
  <c r="AN99" i="297"/>
  <c r="AR101" i="297"/>
  <c r="AR98" i="297"/>
  <c r="AU81" i="297"/>
  <c r="AP101" i="297"/>
  <c r="AM102" i="297"/>
  <c r="AU92" i="297"/>
  <c r="AT102" i="297"/>
  <c r="AP99" i="297"/>
  <c r="AO100" i="297"/>
  <c r="AQ98" i="297"/>
  <c r="AU91" i="297"/>
  <c r="AP100" i="297"/>
  <c r="AM100" i="297"/>
  <c r="AU86" i="297"/>
  <c r="AT99" i="297"/>
  <c r="AT101" i="297"/>
  <c r="AQ102" i="297"/>
  <c r="AN100" i="297"/>
  <c r="AU85" i="297"/>
  <c r="AR100" i="297"/>
  <c r="AM101" i="297"/>
  <c r="AU89" i="297"/>
  <c r="AR102" i="297"/>
  <c r="AP98" i="297"/>
  <c r="AU87" i="297"/>
  <c r="AQ100" i="297"/>
  <c r="AN102" i="297"/>
  <c r="AU88" i="297"/>
  <c r="AU34" i="297"/>
  <c r="AM98" i="297"/>
  <c r="AU80" i="297"/>
  <c r="AR99" i="297"/>
  <c r="AO101" i="297"/>
  <c r="AR55" i="297"/>
  <c r="AQ55" i="297"/>
  <c r="AT55" i="297"/>
  <c r="AU47" i="297"/>
  <c r="AQ52" i="297"/>
  <c r="AQ51" i="297"/>
  <c r="AF92" i="297"/>
  <c r="AQ53" i="297"/>
  <c r="AP54" i="297"/>
  <c r="AU43" i="297"/>
  <c r="AT54" i="297"/>
  <c r="AR51" i="297"/>
  <c r="AP53" i="297"/>
  <c r="AE93" i="297"/>
  <c r="AG92" i="297"/>
  <c r="AI92" i="297"/>
  <c r="AU37" i="297"/>
  <c r="AB89" i="297"/>
  <c r="AJ76" i="297"/>
  <c r="AM54" i="297"/>
  <c r="AU42" i="297"/>
  <c r="AU38" i="297"/>
  <c r="AN53" i="297"/>
  <c r="AP51" i="297"/>
  <c r="AR54" i="297"/>
  <c r="AG93" i="297"/>
  <c r="AD89" i="297"/>
  <c r="AD91" i="297"/>
  <c r="AR52" i="297"/>
  <c r="AD93" i="297"/>
  <c r="AO54" i="297"/>
  <c r="AC90" i="297"/>
  <c r="AU40" i="297"/>
  <c r="AQ54" i="297"/>
  <c r="AI91" i="297"/>
  <c r="AB92" i="297"/>
  <c r="AJ82" i="297"/>
  <c r="AF89" i="297"/>
  <c r="AR53" i="297"/>
  <c r="AI93" i="297"/>
  <c r="AN52" i="297"/>
  <c r="AD92" i="297"/>
  <c r="AT52" i="297"/>
  <c r="AU44" i="297"/>
  <c r="AJ79" i="297"/>
  <c r="AN51" i="297"/>
  <c r="AF90" i="297"/>
  <c r="AC93" i="297"/>
  <c r="AP55" i="297"/>
  <c r="AJ78" i="297"/>
  <c r="AB90" i="297"/>
  <c r="AG90" i="297"/>
  <c r="AN55" i="297"/>
  <c r="AI90" i="297"/>
  <c r="AN54" i="297"/>
  <c r="AU46" i="297"/>
  <c r="AJ84" i="297"/>
  <c r="AB93" i="297"/>
  <c r="AU33" i="297"/>
  <c r="AE89" i="297"/>
  <c r="AM53" i="297"/>
  <c r="AU39" i="297"/>
  <c r="AE91" i="297"/>
  <c r="AT51" i="297"/>
  <c r="AU41" i="297"/>
  <c r="AC92" i="297"/>
  <c r="AE90" i="297"/>
  <c r="AJ81" i="297"/>
  <c r="AO55" i="297"/>
  <c r="AC91" i="297"/>
  <c r="AC89" i="297"/>
  <c r="AD90" i="297"/>
  <c r="AO52" i="297"/>
  <c r="AT53" i="297"/>
  <c r="AU35" i="297"/>
  <c r="AJ85" i="297"/>
  <c r="AU45" i="297"/>
  <c r="AM55" i="297"/>
  <c r="AO51" i="297"/>
  <c r="AF91" i="297"/>
  <c r="AB91" i="297"/>
  <c r="AJ80" i="297"/>
  <c r="AM52" i="297"/>
  <c r="AU36" i="297"/>
  <c r="AP52" i="297"/>
  <c r="AJ83" i="297"/>
  <c r="AG91" i="297"/>
  <c r="AF93" i="297"/>
  <c r="AO53" i="297"/>
  <c r="AE92" i="297"/>
  <c r="AG35" i="282"/>
  <c r="AC10" i="284"/>
  <c r="C29" i="283"/>
  <c r="B93" i="25" s="1"/>
  <c r="AI10" i="282"/>
  <c r="C53" i="283"/>
  <c r="B94" i="25" s="1"/>
  <c r="C76" i="283"/>
  <c r="B95" i="25" s="1"/>
  <c r="C100" i="283"/>
  <c r="B96" i="25" s="1"/>
  <c r="AK10" i="284"/>
  <c r="AF10" i="282"/>
  <c r="AG10" i="282"/>
  <c r="F77" i="282"/>
  <c r="AH10" i="282"/>
  <c r="C113" i="282"/>
  <c r="B91" i="25" s="1"/>
  <c r="B97" i="25"/>
  <c r="I8" i="284"/>
  <c r="C4" i="283"/>
  <c r="B78" i="25" s="1"/>
  <c r="B98" i="25"/>
  <c r="C173" i="283"/>
  <c r="B79" i="25" s="1"/>
  <c r="C202" i="283"/>
  <c r="B99" i="25" s="1"/>
  <c r="AE49" i="282"/>
  <c r="C228" i="283"/>
  <c r="B100" i="25" s="1"/>
  <c r="AF49" i="282"/>
  <c r="C246" i="283"/>
  <c r="B101" i="25" s="1"/>
  <c r="AF35" i="282"/>
  <c r="AG49" i="282"/>
  <c r="B112" i="25"/>
  <c r="B111" i="25"/>
  <c r="B115" i="25"/>
  <c r="B114" i="25"/>
  <c r="B113" i="25"/>
  <c r="B83" i="25"/>
  <c r="B107" i="25"/>
  <c r="B106" i="25"/>
  <c r="B82" i="25"/>
  <c r="B110" i="25"/>
  <c r="B109" i="25"/>
  <c r="B108" i="25"/>
  <c r="B81" i="25"/>
  <c r="C291" i="283"/>
  <c r="B103" i="25" s="1"/>
  <c r="C317" i="283"/>
  <c r="B104" i="25" s="1"/>
  <c r="AK49" i="282"/>
  <c r="AL49" i="282"/>
  <c r="AM49" i="282"/>
  <c r="AF24" i="282"/>
  <c r="AH24" i="282"/>
  <c r="G8" i="282"/>
  <c r="C56" i="282"/>
  <c r="B89" i="25" s="1"/>
  <c r="F8" i="284"/>
  <c r="AE10" i="282"/>
  <c r="C29" i="282"/>
  <c r="B88" i="25" s="1"/>
  <c r="AC20" i="284"/>
  <c r="AN10" i="282"/>
  <c r="AM35" i="282"/>
  <c r="AL64" i="282"/>
  <c r="AM64" i="282"/>
  <c r="C5" i="284"/>
  <c r="B80" i="25" s="1"/>
  <c r="AN10" i="284"/>
  <c r="H77" i="282"/>
  <c r="AK64" i="282"/>
  <c r="K8" i="284"/>
  <c r="AM10" i="282"/>
  <c r="AF10" i="284"/>
  <c r="AL35" i="282"/>
  <c r="K8" i="282"/>
  <c r="AF20" i="284"/>
  <c r="AK24" i="282"/>
  <c r="C87" i="282"/>
  <c r="B90" i="25" s="1"/>
  <c r="C138" i="282"/>
  <c r="B92" i="25" s="1"/>
  <c r="AK10" i="282"/>
  <c r="AF64" i="282"/>
  <c r="L13" i="282"/>
  <c r="Z12" i="283"/>
  <c r="L13" i="283"/>
  <c r="AG75" i="282"/>
  <c r="AH75" i="282" s="1"/>
  <c r="AG17" i="282"/>
  <c r="G14" i="282"/>
  <c r="AF33" i="283"/>
  <c r="G17" i="283"/>
  <c r="J17" i="283"/>
  <c r="K17" i="282"/>
  <c r="K15" i="282"/>
  <c r="V11" i="283"/>
  <c r="AE11" i="283" s="1"/>
  <c r="H12" i="283"/>
  <c r="K17" i="283"/>
  <c r="J21" i="283"/>
  <c r="L17" i="282"/>
  <c r="AN18" i="282"/>
  <c r="L15" i="282"/>
  <c r="W11" i="283"/>
  <c r="I12" i="283"/>
  <c r="AG33" i="283"/>
  <c r="L17" i="283"/>
  <c r="K21" i="283"/>
  <c r="Y80" i="283"/>
  <c r="K13" i="282"/>
  <c r="F13" i="284"/>
  <c r="H10" i="283"/>
  <c r="V10" i="283"/>
  <c r="AE10" i="283" s="1"/>
  <c r="AE22" i="283"/>
  <c r="K14" i="282"/>
  <c r="AN17" i="282"/>
  <c r="L14" i="282"/>
  <c r="G17" i="282"/>
  <c r="I17" i="283"/>
  <c r="L10" i="282"/>
  <c r="Y11" i="283"/>
  <c r="K12" i="283"/>
  <c r="G19" i="283"/>
  <c r="U80" i="283"/>
  <c r="L11" i="282"/>
  <c r="L19" i="283"/>
  <c r="F20" i="283"/>
  <c r="U11" i="283"/>
  <c r="G12" i="283"/>
  <c r="H20" i="283"/>
  <c r="X13" i="283"/>
  <c r="J14" i="283"/>
  <c r="J20" i="283"/>
  <c r="Z13" i="283"/>
  <c r="L14" i="283"/>
  <c r="F17" i="283"/>
  <c r="AJ33" i="283"/>
  <c r="AG15" i="282"/>
  <c r="J10" i="283"/>
  <c r="X10" i="283"/>
  <c r="H15" i="282"/>
  <c r="I21" i="283"/>
  <c r="H16" i="282"/>
  <c r="K16" i="282"/>
  <c r="Z11" i="283"/>
  <c r="L12" i="283"/>
  <c r="H19" i="283"/>
  <c r="V80" i="283"/>
  <c r="H12" i="282"/>
  <c r="U10" i="283"/>
  <c r="AI22" i="283"/>
  <c r="G10" i="283"/>
  <c r="AF22" i="283"/>
  <c r="L12" i="282"/>
  <c r="G20" i="283"/>
  <c r="F13" i="283"/>
  <c r="T12" i="283"/>
  <c r="AJ12" i="283" s="1"/>
  <c r="I20" i="283"/>
  <c r="K14" i="283"/>
  <c r="Y13" i="283"/>
  <c r="K20" i="283"/>
  <c r="L20" i="283"/>
  <c r="I10" i="283"/>
  <c r="AH22" i="283"/>
  <c r="W10" i="283"/>
  <c r="H10" i="282"/>
  <c r="AE33" i="283"/>
  <c r="H17" i="283"/>
  <c r="K10" i="282"/>
  <c r="Z10" i="283"/>
  <c r="AG22" i="283"/>
  <c r="L10" i="283"/>
  <c r="F19" i="283"/>
  <c r="AG16" i="282"/>
  <c r="G11" i="282"/>
  <c r="AN19" i="282"/>
  <c r="L16" i="282"/>
  <c r="V12" i="283"/>
  <c r="AE12" i="283" s="1"/>
  <c r="H13" i="283"/>
  <c r="I19" i="283"/>
  <c r="Z80" i="283"/>
  <c r="H14" i="282"/>
  <c r="AG18" i="282"/>
  <c r="G15" i="282"/>
  <c r="Y10" i="283"/>
  <c r="K10" i="283"/>
  <c r="H17" i="282"/>
  <c r="W80" i="283"/>
  <c r="AG19" i="282"/>
  <c r="G16" i="282"/>
  <c r="T80" i="283"/>
  <c r="H11" i="282"/>
  <c r="I13" i="283"/>
  <c r="W12" i="283"/>
  <c r="X56" i="283"/>
  <c r="J18" i="283" s="1"/>
  <c r="J19" i="283"/>
  <c r="F11" i="284"/>
  <c r="K13" i="283"/>
  <c r="Y12" i="283"/>
  <c r="K12" i="282"/>
  <c r="F12" i="283"/>
  <c r="T11" i="283"/>
  <c r="AJ11" i="283" s="1"/>
  <c r="H14" i="283"/>
  <c r="V13" i="283"/>
  <c r="AE13" i="283" s="1"/>
  <c r="I14" i="283"/>
  <c r="W13" i="283"/>
  <c r="G13" i="283"/>
  <c r="U12" i="283"/>
  <c r="T13" i="283"/>
  <c r="AJ13" i="283" s="1"/>
  <c r="F14" i="283"/>
  <c r="U13" i="283"/>
  <c r="G14" i="283"/>
  <c r="F21" i="283"/>
  <c r="G21" i="283"/>
  <c r="H21" i="283"/>
  <c r="X80" i="283"/>
  <c r="X11" i="283"/>
  <c r="J12" i="283"/>
  <c r="L21" i="283"/>
  <c r="G13" i="282"/>
  <c r="G12" i="282"/>
  <c r="K11" i="282"/>
  <c r="H13" i="282"/>
  <c r="T10" i="283"/>
  <c r="AJ22" i="283"/>
  <c r="F10" i="283"/>
  <c r="X12" i="283"/>
  <c r="J13" i="283"/>
  <c r="K19" i="283"/>
  <c r="Y56" i="283"/>
  <c r="K18" i="283" s="1"/>
  <c r="F12" i="284"/>
  <c r="V107" i="283"/>
  <c r="U107" i="283"/>
  <c r="T107" i="283"/>
  <c r="Y107" i="283"/>
  <c r="X107" i="283"/>
  <c r="W107" i="283"/>
  <c r="Z108" i="283"/>
  <c r="V108" i="283"/>
  <c r="U108" i="283"/>
  <c r="T108" i="283"/>
  <c r="Y108" i="283"/>
  <c r="X108" i="283"/>
  <c r="W108" i="283"/>
  <c r="Z109" i="283"/>
  <c r="V109" i="283"/>
  <c r="U109" i="283"/>
  <c r="T109" i="283"/>
  <c r="Y109" i="283"/>
  <c r="X109" i="283"/>
  <c r="W109" i="283"/>
  <c r="Z110" i="283"/>
  <c r="V110" i="283"/>
  <c r="U110" i="283"/>
  <c r="T110" i="283"/>
  <c r="Y110" i="283"/>
  <c r="X110" i="283"/>
  <c r="W110" i="283"/>
  <c r="Z107" i="283"/>
  <c r="Z104" i="283"/>
  <c r="V104" i="283"/>
  <c r="U104" i="283"/>
  <c r="T104" i="283"/>
  <c r="Y104" i="283"/>
  <c r="X104" i="283"/>
  <c r="W104" i="283"/>
  <c r="V84" i="283"/>
  <c r="U84" i="283"/>
  <c r="T84" i="283"/>
  <c r="Y84" i="283"/>
  <c r="X84" i="283"/>
  <c r="W84" i="283"/>
  <c r="V85" i="283"/>
  <c r="U85" i="283"/>
  <c r="T85" i="283"/>
  <c r="Y85" i="283"/>
  <c r="X85" i="283"/>
  <c r="W85" i="283"/>
  <c r="V86" i="283"/>
  <c r="U86" i="283"/>
  <c r="T86" i="283"/>
  <c r="Y86" i="283"/>
  <c r="X86" i="283"/>
  <c r="W86" i="283"/>
  <c r="W83" i="283"/>
  <c r="X83" i="283"/>
  <c r="Y83" i="283"/>
  <c r="T83" i="283"/>
  <c r="U83" i="283"/>
  <c r="V83" i="283"/>
  <c r="Z84" i="283"/>
  <c r="Z85" i="283"/>
  <c r="Z86" i="283"/>
  <c r="Z83" i="283"/>
  <c r="U56" i="283"/>
  <c r="V56" i="283"/>
  <c r="AE39" i="283" s="1"/>
  <c r="W56" i="283"/>
  <c r="Z56" i="283"/>
  <c r="AE39" i="282"/>
  <c r="AG13" i="282"/>
  <c r="AG39" i="282" s="1"/>
  <c r="AF39" i="282"/>
  <c r="AH13" i="282"/>
  <c r="AG67" i="282"/>
  <c r="AH67" i="282" s="1"/>
  <c r="AK39" i="282"/>
  <c r="AM13" i="282"/>
  <c r="AM39" i="282" s="1"/>
  <c r="AL39" i="282"/>
  <c r="AL30" i="282"/>
  <c r="AN13" i="282"/>
  <c r="AN39" i="282" s="1"/>
  <c r="AE38" i="282"/>
  <c r="AG14" i="282"/>
  <c r="AF38" i="282"/>
  <c r="AF27" i="282"/>
  <c r="AH14" i="282"/>
  <c r="AG68" i="282"/>
  <c r="AH68" i="282" s="1"/>
  <c r="AK38" i="282"/>
  <c r="AM14" i="282"/>
  <c r="AL38" i="282"/>
  <c r="AL27" i="282"/>
  <c r="AN14" i="282"/>
  <c r="AF29" i="282"/>
  <c r="AH15" i="282"/>
  <c r="AI15" i="282" s="1"/>
  <c r="AG69" i="282"/>
  <c r="AM15" i="282"/>
  <c r="AL29" i="282"/>
  <c r="AN15" i="282"/>
  <c r="AH16" i="282"/>
  <c r="AI16" i="282" s="1"/>
  <c r="AG70" i="282"/>
  <c r="AH70" i="282" s="1"/>
  <c r="AM16" i="282"/>
  <c r="AN16" i="282"/>
  <c r="AH17" i="282"/>
  <c r="AI17" i="282" s="1"/>
  <c r="AG71" i="282"/>
  <c r="AM17" i="282"/>
  <c r="AH18" i="282"/>
  <c r="AI18" i="282" s="1"/>
  <c r="AG72" i="282"/>
  <c r="AM18" i="282"/>
  <c r="AH19" i="282"/>
  <c r="AI19" i="282" s="1"/>
  <c r="AG73" i="282"/>
  <c r="AM19" i="282"/>
  <c r="AE37" i="282"/>
  <c r="AG20" i="282"/>
  <c r="AG37" i="282" s="1"/>
  <c r="AF37" i="282"/>
  <c r="AF28" i="282"/>
  <c r="AH20" i="282"/>
  <c r="AG74" i="282"/>
  <c r="AH74" i="282" s="1"/>
  <c r="AK37" i="282"/>
  <c r="AM20" i="282"/>
  <c r="AM37" i="282" s="1"/>
  <c r="AL37" i="282"/>
  <c r="AL28" i="282"/>
  <c r="AN20" i="282"/>
  <c r="AN37" i="282" s="1"/>
  <c r="AG52" i="282"/>
  <c r="AH52" i="282" s="1"/>
  <c r="AM52" i="282"/>
  <c r="AN52" i="282" s="1"/>
  <c r="AG53" i="282"/>
  <c r="AH53" i="282" s="1"/>
  <c r="AM53" i="282"/>
  <c r="AN53" i="282" s="1"/>
  <c r="AG54" i="282"/>
  <c r="AM54" i="282"/>
  <c r="AG55" i="282"/>
  <c r="AH55" i="282" s="1"/>
  <c r="AM55" i="282"/>
  <c r="AN55" i="282" s="1"/>
  <c r="AG56" i="282"/>
  <c r="AM56" i="282"/>
  <c r="AG57" i="282"/>
  <c r="AM57" i="282"/>
  <c r="AG58" i="282"/>
  <c r="AM58" i="282"/>
  <c r="AG59" i="282"/>
  <c r="AH59" i="282" s="1"/>
  <c r="AM59" i="282"/>
  <c r="AN59" i="282" s="1"/>
  <c r="AG60" i="282"/>
  <c r="AH60" i="282" s="1"/>
  <c r="AM60" i="282"/>
  <c r="AN60" i="282" s="1"/>
  <c r="AM67" i="282"/>
  <c r="AN67" i="282" s="1"/>
  <c r="AM68" i="282"/>
  <c r="AN68" i="282" s="1"/>
  <c r="AM69" i="282"/>
  <c r="AM70" i="282"/>
  <c r="AN70" i="282" s="1"/>
  <c r="AM71" i="282"/>
  <c r="AM72" i="282"/>
  <c r="AM73" i="282"/>
  <c r="AM74" i="282"/>
  <c r="AN74" i="282" s="1"/>
  <c r="AM75" i="282"/>
  <c r="AN75" i="282" s="1"/>
  <c r="AK34" i="283" l="1"/>
  <c r="AH13" i="283"/>
  <c r="I12" i="284"/>
  <c r="AK14" i="284"/>
  <c r="I13" i="284"/>
  <c r="AK12" i="284"/>
  <c r="I11" i="284"/>
  <c r="I15" i="284"/>
  <c r="I14" i="284"/>
  <c r="AK13" i="284"/>
  <c r="AK15" i="284"/>
  <c r="AJ40" i="297"/>
  <c r="G11" i="284"/>
  <c r="AC67" i="284"/>
  <c r="AC80" i="284" s="1"/>
  <c r="AJ42" i="297"/>
  <c r="AD38" i="284"/>
  <c r="AG38" i="284" s="1"/>
  <c r="G14" i="284"/>
  <c r="AC66" i="284"/>
  <c r="AC79" i="284" s="1"/>
  <c r="AJ43" i="297"/>
  <c r="AB51" i="297"/>
  <c r="AE101" i="297" s="1"/>
  <c r="AB121" i="297" s="1"/>
  <c r="AB48" i="297"/>
  <c r="AN12" i="284"/>
  <c r="AN14" i="284"/>
  <c r="AN15" i="284"/>
  <c r="K15" i="284"/>
  <c r="AN13" i="284"/>
  <c r="K11" i="284"/>
  <c r="K22" i="283"/>
  <c r="AD37" i="284"/>
  <c r="AE37" i="284" s="1"/>
  <c r="AI37" i="284" s="1"/>
  <c r="G13" i="284"/>
  <c r="AD65" i="284"/>
  <c r="AJ45" i="297"/>
  <c r="F16" i="286"/>
  <c r="AO16" i="286"/>
  <c r="J22" i="283"/>
  <c r="AD36" i="284"/>
  <c r="AG36" i="284" s="1"/>
  <c r="G12" i="284"/>
  <c r="AD68" i="284"/>
  <c r="AJ46" i="297"/>
  <c r="AJ34" i="297"/>
  <c r="F15" i="286"/>
  <c r="AC65" i="284"/>
  <c r="AC78" i="284" s="1"/>
  <c r="AD67" i="284"/>
  <c r="AJ33" i="297"/>
  <c r="AJ36" i="297"/>
  <c r="J15" i="283"/>
  <c r="AC69" i="284"/>
  <c r="AD66" i="284"/>
  <c r="AJ37" i="297"/>
  <c r="K15" i="283"/>
  <c r="AD69" i="284"/>
  <c r="AJ39" i="297"/>
  <c r="T87" i="283"/>
  <c r="M10" i="283"/>
  <c r="AS56" i="297"/>
  <c r="AO109" i="297"/>
  <c r="AM36" i="286"/>
  <c r="AM15" i="286" s="1"/>
  <c r="AM25" i="286"/>
  <c r="AM14" i="286" s="1"/>
  <c r="K13" i="284"/>
  <c r="K14" i="284"/>
  <c r="K12" i="284"/>
  <c r="AM62" i="286"/>
  <c r="AM51" i="286" s="1"/>
  <c r="AL62" i="286"/>
  <c r="AL51" i="286" s="1"/>
  <c r="Y51" i="286"/>
  <c r="J11" i="286" s="1"/>
  <c r="AI62" i="286"/>
  <c r="AI51" i="286" s="1"/>
  <c r="Z51" i="286"/>
  <c r="AI53" i="286" s="1"/>
  <c r="AJ62" i="286"/>
  <c r="AJ51" i="286" s="1"/>
  <c r="AA51" i="286"/>
  <c r="AJ53" i="286" s="1"/>
  <c r="AK62" i="286"/>
  <c r="AK51" i="286" s="1"/>
  <c r="AB51" i="286"/>
  <c r="AK53" i="286" s="1"/>
  <c r="AC51" i="286"/>
  <c r="J15" i="286" s="1"/>
  <c r="AD51" i="286"/>
  <c r="J16" i="286" s="1"/>
  <c r="AN62" i="286"/>
  <c r="AN51" i="286" s="1"/>
  <c r="AE51" i="286"/>
  <c r="AN53" i="286" s="1"/>
  <c r="AO62" i="286"/>
  <c r="AO51" i="286" s="1"/>
  <c r="AF51" i="286"/>
  <c r="AO53" i="286" s="1"/>
  <c r="AM73" i="286"/>
  <c r="AM52" i="286" s="1"/>
  <c r="AL73" i="286"/>
  <c r="AL52" i="286" s="1"/>
  <c r="AI73" i="286"/>
  <c r="AI52" i="286" s="1"/>
  <c r="AJ73" i="286"/>
  <c r="AJ52" i="286" s="1"/>
  <c r="AK73" i="286"/>
  <c r="AK52" i="286" s="1"/>
  <c r="AN73" i="286"/>
  <c r="AN52" i="286" s="1"/>
  <c r="AO73" i="286"/>
  <c r="AO52" i="286" s="1"/>
  <c r="AJ26" i="283"/>
  <c r="AA34" i="283"/>
  <c r="F15" i="283"/>
  <c r="AF26" i="283"/>
  <c r="AI26" i="283"/>
  <c r="G15" i="283"/>
  <c r="H15" i="283"/>
  <c r="AE26" i="283"/>
  <c r="I15" i="283"/>
  <c r="AH26" i="283"/>
  <c r="L15" i="283"/>
  <c r="AG26" i="283"/>
  <c r="F22" i="283"/>
  <c r="AJ37" i="283"/>
  <c r="AA54" i="283"/>
  <c r="L22" i="283"/>
  <c r="AG37" i="283"/>
  <c r="I22" i="283"/>
  <c r="AH37" i="283"/>
  <c r="AE37" i="283"/>
  <c r="H22" i="283"/>
  <c r="AF37" i="283"/>
  <c r="AF70" i="283" s="1"/>
  <c r="I196" i="283" s="1"/>
  <c r="AI37" i="283"/>
  <c r="G22" i="283"/>
  <c r="F16" i="284"/>
  <c r="AC39" i="284"/>
  <c r="AD39" i="284"/>
  <c r="AD35" i="284"/>
  <c r="AE35" i="284" s="1"/>
  <c r="AI35" i="284" s="1"/>
  <c r="AC68" i="284"/>
  <c r="AI51" i="297"/>
  <c r="AI101" i="297" s="1"/>
  <c r="C127" i="297" s="1"/>
  <c r="AI48" i="297"/>
  <c r="AG48" i="297"/>
  <c r="AG51" i="297"/>
  <c r="AG101" i="297" s="1"/>
  <c r="AD121" i="297" s="1"/>
  <c r="AF48" i="297"/>
  <c r="AF51" i="297"/>
  <c r="AB101" i="297" s="1"/>
  <c r="AE48" i="297"/>
  <c r="AE51" i="297"/>
  <c r="AD48" i="297"/>
  <c r="AD51" i="297"/>
  <c r="AC48" i="297"/>
  <c r="AC51" i="297"/>
  <c r="AI55" i="297"/>
  <c r="AI105" i="297" s="1"/>
  <c r="AG55" i="297"/>
  <c r="AG105" i="297" s="1"/>
  <c r="AD125" i="297" s="1"/>
  <c r="AF55" i="297"/>
  <c r="AB105" i="297" s="1"/>
  <c r="C18" i="297" s="1"/>
  <c r="AE55" i="297"/>
  <c r="AF105" i="297" s="1"/>
  <c r="G18" i="297" s="1"/>
  <c r="AD55" i="297"/>
  <c r="AC105" i="297" s="1"/>
  <c r="AC55" i="297"/>
  <c r="AD105" i="297" s="1"/>
  <c r="G133" i="297" s="1"/>
  <c r="AB55" i="297"/>
  <c r="AE105" i="297" s="1"/>
  <c r="AB125" i="297" s="1"/>
  <c r="AI54" i="297"/>
  <c r="AI104" i="297" s="1"/>
  <c r="AG54" i="297"/>
  <c r="AG104" i="297" s="1"/>
  <c r="AD124" i="297" s="1"/>
  <c r="AF54" i="297"/>
  <c r="AB104" i="297" s="1"/>
  <c r="C17" i="297" s="1"/>
  <c r="AE54" i="297"/>
  <c r="AF104" i="297" s="1"/>
  <c r="AD54" i="297"/>
  <c r="AC104" i="297" s="1"/>
  <c r="AC54" i="297"/>
  <c r="AD104" i="297" s="1"/>
  <c r="AB54" i="297"/>
  <c r="AE104" i="297" s="1"/>
  <c r="AB124" i="297" s="1"/>
  <c r="AI53" i="297"/>
  <c r="AI103" i="297" s="1"/>
  <c r="AG53" i="297"/>
  <c r="AG103" i="297" s="1"/>
  <c r="AD123" i="297" s="1"/>
  <c r="AF53" i="297"/>
  <c r="AB103" i="297" s="1"/>
  <c r="C16" i="297" s="1"/>
  <c r="AE53" i="297"/>
  <c r="AF103" i="297" s="1"/>
  <c r="AD53" i="297"/>
  <c r="AC103" i="297" s="1"/>
  <c r="AC53" i="297"/>
  <c r="AD103" i="297" s="1"/>
  <c r="AB53" i="297"/>
  <c r="AE103" i="297" s="1"/>
  <c r="AB123" i="297" s="1"/>
  <c r="AI52" i="297"/>
  <c r="AI102" i="297" s="1"/>
  <c r="AG52" i="297"/>
  <c r="AG102" i="297" s="1"/>
  <c r="AD122" i="297" s="1"/>
  <c r="AF52" i="297"/>
  <c r="AB102" i="297" s="1"/>
  <c r="C15" i="297" s="1"/>
  <c r="AE52" i="297"/>
  <c r="AF102" i="297" s="1"/>
  <c r="G15" i="297" s="1"/>
  <c r="AD52" i="297"/>
  <c r="AC102" i="297" s="1"/>
  <c r="D130" i="297" s="1"/>
  <c r="AC52" i="297"/>
  <c r="AD102" i="297" s="1"/>
  <c r="D133" i="297" s="1"/>
  <c r="AB52" i="297"/>
  <c r="AE102" i="297" s="1"/>
  <c r="AB122" i="297" s="1"/>
  <c r="AN25" i="286"/>
  <c r="AN14" i="286" s="1"/>
  <c r="AE14" i="286"/>
  <c r="AN16" i="286" s="1"/>
  <c r="E17" i="286"/>
  <c r="AD14" i="286"/>
  <c r="E16" i="286"/>
  <c r="AC14" i="286"/>
  <c r="E15" i="286"/>
  <c r="AK25" i="286"/>
  <c r="AK14" i="286" s="1"/>
  <c r="AB14" i="286"/>
  <c r="AK16" i="286" s="1"/>
  <c r="E14" i="286"/>
  <c r="AJ25" i="286"/>
  <c r="AJ14" i="286" s="1"/>
  <c r="AA14" i="286"/>
  <c r="AJ16" i="286" s="1"/>
  <c r="E13" i="286"/>
  <c r="AI25" i="286"/>
  <c r="AI14" i="286" s="1"/>
  <c r="Z14" i="286"/>
  <c r="AI16" i="286" s="1"/>
  <c r="E12" i="286"/>
  <c r="AL25" i="286"/>
  <c r="AL14" i="286" s="1"/>
  <c r="Y14" i="286"/>
  <c r="E11" i="286"/>
  <c r="F17" i="286"/>
  <c r="I17" i="286" s="1"/>
  <c r="AN36" i="286"/>
  <c r="AN15" i="286" s="1"/>
  <c r="F14" i="286"/>
  <c r="I14" i="286" s="1"/>
  <c r="AK36" i="286"/>
  <c r="AK15" i="286" s="1"/>
  <c r="F13" i="286"/>
  <c r="I13" i="286" s="1"/>
  <c r="AJ36" i="286"/>
  <c r="AJ15" i="286" s="1"/>
  <c r="F12" i="286"/>
  <c r="I12" i="286" s="1"/>
  <c r="AI36" i="286"/>
  <c r="AI15" i="286" s="1"/>
  <c r="F11" i="286"/>
  <c r="I11" i="286" s="1"/>
  <c r="AL36" i="286"/>
  <c r="AL15" i="286" s="1"/>
  <c r="AO25" i="286"/>
  <c r="AO14" i="286" s="1"/>
  <c r="E18" i="286"/>
  <c r="F18" i="286"/>
  <c r="I18" i="286" s="1"/>
  <c r="AO36" i="286"/>
  <c r="AO15" i="286" s="1"/>
  <c r="AS101" i="297"/>
  <c r="AS112" i="297" s="1"/>
  <c r="AS99" i="297"/>
  <c r="AS110" i="297" s="1"/>
  <c r="AS102" i="297"/>
  <c r="AS113" i="297" s="1"/>
  <c r="AS100" i="297"/>
  <c r="AS111" i="297" s="1"/>
  <c r="AS98" i="297"/>
  <c r="L11" i="284"/>
  <c r="L13" i="284"/>
  <c r="L14" i="284"/>
  <c r="L12" i="284"/>
  <c r="AO12" i="284"/>
  <c r="AO14" i="284"/>
  <c r="AO15" i="284"/>
  <c r="AO13" i="284"/>
  <c r="AK35" i="283"/>
  <c r="AF13" i="283"/>
  <c r="AI13" i="283"/>
  <c r="AF12" i="283"/>
  <c r="AI12" i="283"/>
  <c r="AH12" i="283"/>
  <c r="AG11" i="283"/>
  <c r="AG13" i="283"/>
  <c r="AF11" i="283"/>
  <c r="AI11" i="283"/>
  <c r="AH11" i="283"/>
  <c r="AG12" i="283"/>
  <c r="AK36" i="283"/>
  <c r="AA12" i="283"/>
  <c r="AK24" i="283"/>
  <c r="AA13" i="283"/>
  <c r="AK25" i="283"/>
  <c r="AA10" i="283"/>
  <c r="AK22" i="283"/>
  <c r="AA11" i="283"/>
  <c r="M21" i="283"/>
  <c r="M19" i="283"/>
  <c r="M17" i="283"/>
  <c r="M20" i="283"/>
  <c r="M14" i="283"/>
  <c r="M12" i="283"/>
  <c r="M13" i="283"/>
  <c r="L18" i="282"/>
  <c r="K18" i="282"/>
  <c r="AK31" i="282"/>
  <c r="AM26" i="282" s="1"/>
  <c r="H79" i="282" s="1"/>
  <c r="AE31" i="282"/>
  <c r="AG26" i="282" s="1"/>
  <c r="F79" i="282" s="1"/>
  <c r="AH39" i="283"/>
  <c r="AL31" i="282"/>
  <c r="AN30" i="282" s="1"/>
  <c r="AF31" i="282"/>
  <c r="AH30" i="282" s="1"/>
  <c r="H18" i="282"/>
  <c r="G18" i="282"/>
  <c r="AT113" i="297"/>
  <c r="AU96" i="297"/>
  <c r="AJ87" i="297"/>
  <c r="AU49" i="297"/>
  <c r="AP113" i="297"/>
  <c r="AP110" i="297"/>
  <c r="AN111" i="297"/>
  <c r="E132" i="297" s="1"/>
  <c r="AO113" i="297"/>
  <c r="AN113" i="297"/>
  <c r="AP112" i="297"/>
  <c r="AM110" i="297"/>
  <c r="D129" i="297" s="1"/>
  <c r="AT112" i="297"/>
  <c r="AE94" i="297"/>
  <c r="AN103" i="297"/>
  <c r="AR110" i="297"/>
  <c r="AM112" i="297"/>
  <c r="AM113" i="297"/>
  <c r="AR111" i="297"/>
  <c r="E141" i="297" s="1"/>
  <c r="AQ103" i="297"/>
  <c r="AB94" i="297"/>
  <c r="AM103" i="297"/>
  <c r="AO111" i="297"/>
  <c r="E135" i="297" s="1"/>
  <c r="AN109" i="297"/>
  <c r="C132" i="297" s="1"/>
  <c r="AN56" i="297"/>
  <c r="AQ110" i="297"/>
  <c r="AT110" i="297"/>
  <c r="AD94" i="297"/>
  <c r="AT103" i="297"/>
  <c r="AO110" i="297"/>
  <c r="AQ56" i="297"/>
  <c r="AQ109" i="297"/>
  <c r="AQ113" i="297"/>
  <c r="AI94" i="297"/>
  <c r="J19" i="297" s="1"/>
  <c r="AN112" i="297"/>
  <c r="AR113" i="297"/>
  <c r="AN110" i="297"/>
  <c r="D132" i="297" s="1"/>
  <c r="AR112" i="297"/>
  <c r="AP111" i="297"/>
  <c r="AG94" i="297"/>
  <c r="AO56" i="297"/>
  <c r="AM109" i="297"/>
  <c r="C129" i="297" s="1"/>
  <c r="AP109" i="297"/>
  <c r="AP56" i="297"/>
  <c r="AR56" i="297"/>
  <c r="AR109" i="297"/>
  <c r="AR103" i="297"/>
  <c r="AT109" i="297"/>
  <c r="AT56" i="297"/>
  <c r="AM111" i="297"/>
  <c r="AF94" i="297"/>
  <c r="AO103" i="297"/>
  <c r="AT111" i="297"/>
  <c r="AO112" i="297"/>
  <c r="AP103" i="297"/>
  <c r="AQ112" i="297"/>
  <c r="AQ111" i="297"/>
  <c r="AC94" i="297"/>
  <c r="M13" i="282"/>
  <c r="I15" i="282"/>
  <c r="I12" i="282"/>
  <c r="M15" i="282"/>
  <c r="M16" i="282"/>
  <c r="I13" i="282"/>
  <c r="M10" i="282"/>
  <c r="W14" i="283"/>
  <c r="I14" i="282"/>
  <c r="M14" i="282"/>
  <c r="U14" i="283"/>
  <c r="I10" i="282"/>
  <c r="AH10" i="283"/>
  <c r="I16" i="282"/>
  <c r="Z14" i="283"/>
  <c r="AG14" i="283" s="1"/>
  <c r="AF10" i="283"/>
  <c r="T14" i="283"/>
  <c r="AJ14" i="283" s="1"/>
  <c r="AK49" i="283" s="1"/>
  <c r="M11" i="282"/>
  <c r="I11" i="282"/>
  <c r="M12" i="282"/>
  <c r="X16" i="283"/>
  <c r="AG38" i="282"/>
  <c r="AG40" i="282" s="1"/>
  <c r="M17" i="282"/>
  <c r="X14" i="283"/>
  <c r="X15" i="283" s="1"/>
  <c r="V14" i="283"/>
  <c r="AE14" i="283" s="1"/>
  <c r="AK33" i="283"/>
  <c r="Y14" i="283"/>
  <c r="I17" i="282"/>
  <c r="Y16" i="283"/>
  <c r="AJ10" i="283"/>
  <c r="AG10" i="283"/>
  <c r="AI10" i="283"/>
  <c r="AH39" i="284"/>
  <c r="AI39" i="283"/>
  <c r="I18" i="283"/>
  <c r="H18" i="283"/>
  <c r="AF39" i="283"/>
  <c r="G18" i="283"/>
  <c r="AJ39" i="283"/>
  <c r="F18" i="283"/>
  <c r="W16" i="283"/>
  <c r="V16" i="283"/>
  <c r="U16" i="283"/>
  <c r="T16" i="283"/>
  <c r="AG39" i="283"/>
  <c r="L18" i="283"/>
  <c r="Z16" i="283"/>
  <c r="AN65" i="282"/>
  <c r="AN64" i="282" s="1"/>
  <c r="AH65" i="282"/>
  <c r="AH64" i="282" s="1"/>
  <c r="AN50" i="282"/>
  <c r="AN49" i="282" s="1"/>
  <c r="AH50" i="282"/>
  <c r="AH37" i="282"/>
  <c r="AI37" i="282" s="1"/>
  <c r="AI20" i="282"/>
  <c r="AN38" i="282"/>
  <c r="AN40" i="282" s="1"/>
  <c r="AM38" i="282"/>
  <c r="AM40" i="282" s="1"/>
  <c r="AH38" i="282"/>
  <c r="AI38" i="282" s="1"/>
  <c r="AI14" i="282"/>
  <c r="AL40" i="282"/>
  <c r="AK40" i="282"/>
  <c r="AH39" i="282"/>
  <c r="AI39" i="282" s="1"/>
  <c r="AI13" i="282"/>
  <c r="AF40" i="282"/>
  <c r="AE40" i="282"/>
  <c r="J18" i="286" l="1"/>
  <c r="AE36" i="284"/>
  <c r="AI36" i="284" s="1"/>
  <c r="K12" i="286"/>
  <c r="AO18" i="286"/>
  <c r="L23" i="283"/>
  <c r="I23" i="283"/>
  <c r="K23" i="283"/>
  <c r="J13" i="284"/>
  <c r="AO19" i="286"/>
  <c r="AG66" i="284"/>
  <c r="AH66" i="284" s="1"/>
  <c r="AG65" i="284"/>
  <c r="AH65" i="284" s="1"/>
  <c r="AG35" i="284"/>
  <c r="AH35" i="284" s="1"/>
  <c r="AG68" i="284"/>
  <c r="AH68" i="284" s="1"/>
  <c r="J12" i="286"/>
  <c r="K16" i="286"/>
  <c r="J23" i="283"/>
  <c r="H15" i="286"/>
  <c r="H16" i="286"/>
  <c r="H23" i="283"/>
  <c r="AJ49" i="297"/>
  <c r="AK19" i="286"/>
  <c r="K14" i="286"/>
  <c r="AE68" i="284"/>
  <c r="AI68" i="284" s="1"/>
  <c r="AK16" i="284"/>
  <c r="AC81" i="284"/>
  <c r="AK26" i="283"/>
  <c r="AL14" i="284"/>
  <c r="AE66" i="284"/>
  <c r="AI66" i="284" s="1"/>
  <c r="AO56" i="286"/>
  <c r="E142" i="297"/>
  <c r="AD79" i="284"/>
  <c r="AE79" i="284" s="1"/>
  <c r="AI79" i="284" s="1"/>
  <c r="AE38" i="284"/>
  <c r="AI38" i="284" s="1"/>
  <c r="AE65" i="284"/>
  <c r="AI65" i="284" s="1"/>
  <c r="AB56" i="297"/>
  <c r="AE106" i="297" s="1"/>
  <c r="K17" i="286"/>
  <c r="AI56" i="286"/>
  <c r="AN16" i="284"/>
  <c r="AD80" i="284"/>
  <c r="AG80" i="284" s="1"/>
  <c r="AN56" i="286"/>
  <c r="K11" i="286"/>
  <c r="AD78" i="284"/>
  <c r="AG78" i="284" s="1"/>
  <c r="K18" i="286"/>
  <c r="AN19" i="286"/>
  <c r="AD81" i="284"/>
  <c r="M15" i="283"/>
  <c r="K15" i="286"/>
  <c r="AH69" i="284"/>
  <c r="J11" i="284"/>
  <c r="AG37" i="284"/>
  <c r="AH37" i="284" s="1"/>
  <c r="AG50" i="283"/>
  <c r="J181" i="283" s="1"/>
  <c r="AG67" i="284"/>
  <c r="AH67" i="284" s="1"/>
  <c r="AJ19" i="286"/>
  <c r="AI56" i="297"/>
  <c r="AI106" i="297" s="1"/>
  <c r="AJ56" i="286"/>
  <c r="J14" i="286"/>
  <c r="J17" i="286"/>
  <c r="AK50" i="283"/>
  <c r="G181" i="283" s="1"/>
  <c r="AS103" i="297"/>
  <c r="AU103" i="297" s="1"/>
  <c r="AE67" i="284"/>
  <c r="AI67" i="284" s="1"/>
  <c r="AL13" i="284"/>
  <c r="J12" i="284"/>
  <c r="J13" i="286"/>
  <c r="G16" i="284"/>
  <c r="AL15" i="284"/>
  <c r="J14" i="284"/>
  <c r="AL12" i="284"/>
  <c r="AI19" i="286"/>
  <c r="AK56" i="286"/>
  <c r="AM16" i="286"/>
  <c r="AM19" i="286" s="1"/>
  <c r="K13" i="286"/>
  <c r="H18" i="286"/>
  <c r="H12" i="286"/>
  <c r="H13" i="286"/>
  <c r="H14" i="286"/>
  <c r="H17" i="286"/>
  <c r="H11" i="286"/>
  <c r="AH103" i="297"/>
  <c r="AH104" i="297"/>
  <c r="AH105" i="297"/>
  <c r="I15" i="286"/>
  <c r="I16" i="286"/>
  <c r="C14" i="297"/>
  <c r="C19" i="297" s="1"/>
  <c r="F132" i="297"/>
  <c r="G129" i="297"/>
  <c r="F129" i="297"/>
  <c r="G132" i="297"/>
  <c r="G135" i="297"/>
  <c r="AF16" i="286"/>
  <c r="AL16" i="286"/>
  <c r="AL19" i="286" s="1"/>
  <c r="AI18" i="286"/>
  <c r="AJ18" i="286"/>
  <c r="AK18" i="286"/>
  <c r="AN18" i="286"/>
  <c r="AC56" i="297"/>
  <c r="AD106" i="297" s="1"/>
  <c r="AD101" i="297"/>
  <c r="C133" i="297" s="1"/>
  <c r="AD56" i="297"/>
  <c r="AC106" i="297" s="1"/>
  <c r="AC101" i="297"/>
  <c r="C130" i="297" s="1"/>
  <c r="AE56" i="297"/>
  <c r="AF106" i="297" s="1"/>
  <c r="AF101" i="297"/>
  <c r="AF56" i="297"/>
  <c r="AB106" i="297" s="1"/>
  <c r="AG56" i="297"/>
  <c r="AG106" i="297" s="1"/>
  <c r="AJ68" i="283"/>
  <c r="F193" i="283" s="1"/>
  <c r="AJ70" i="283"/>
  <c r="F196" i="283" s="1"/>
  <c r="AJ67" i="283"/>
  <c r="AJ69" i="283"/>
  <c r="F195" i="283" s="1"/>
  <c r="AF68" i="283"/>
  <c r="I193" i="283" s="1"/>
  <c r="AF67" i="283"/>
  <c r="I197" i="283" s="1"/>
  <c r="AF69" i="283"/>
  <c r="AF65" i="283" s="1"/>
  <c r="AE67" i="283"/>
  <c r="H197" i="283" s="1"/>
  <c r="AE69" i="283"/>
  <c r="H195" i="283" s="1"/>
  <c r="AE70" i="283"/>
  <c r="H196" i="283" s="1"/>
  <c r="AE68" i="283"/>
  <c r="H193" i="283" s="1"/>
  <c r="AH68" i="283"/>
  <c r="K193" i="283" s="1"/>
  <c r="AH70" i="283"/>
  <c r="K196" i="283" s="1"/>
  <c r="AH67" i="283"/>
  <c r="J197" i="283" s="1"/>
  <c r="AH69" i="283"/>
  <c r="AG69" i="283"/>
  <c r="AG70" i="283"/>
  <c r="J196" i="283" s="1"/>
  <c r="AG67" i="283"/>
  <c r="K197" i="283" s="1"/>
  <c r="AG68" i="283"/>
  <c r="J193" i="283" s="1"/>
  <c r="AK37" i="283"/>
  <c r="AK70" i="283"/>
  <c r="G196" i="283" s="1"/>
  <c r="AK69" i="283"/>
  <c r="AK68" i="283"/>
  <c r="G193" i="283" s="1"/>
  <c r="AK67" i="283"/>
  <c r="G197" i="283" s="1"/>
  <c r="AG61" i="283"/>
  <c r="J190" i="283" s="1"/>
  <c r="AG58" i="283"/>
  <c r="J191" i="283" s="1"/>
  <c r="AG60" i="283"/>
  <c r="AG59" i="283"/>
  <c r="J187" i="283" s="1"/>
  <c r="AH58" i="283"/>
  <c r="K191" i="283" s="1"/>
  <c r="AH61" i="283"/>
  <c r="K190" i="283" s="1"/>
  <c r="AH59" i="283"/>
  <c r="K187" i="283" s="1"/>
  <c r="AH60" i="283"/>
  <c r="AE58" i="283"/>
  <c r="H191" i="283" s="1"/>
  <c r="AE61" i="283"/>
  <c r="AE60" i="283"/>
  <c r="AE59" i="283"/>
  <c r="H187" i="283" s="1"/>
  <c r="AJ59" i="283"/>
  <c r="F187" i="283" s="1"/>
  <c r="AJ60" i="283"/>
  <c r="F189" i="283" s="1"/>
  <c r="AJ61" i="283"/>
  <c r="F190" i="283" s="1"/>
  <c r="AJ58" i="283"/>
  <c r="F191" i="283" s="1"/>
  <c r="AF59" i="283"/>
  <c r="I187" i="283" s="1"/>
  <c r="AF60" i="283"/>
  <c r="AF61" i="283"/>
  <c r="I190" i="283" s="1"/>
  <c r="AF58" i="283"/>
  <c r="I191" i="283" s="1"/>
  <c r="AA14" i="283"/>
  <c r="AK14" i="283" s="1"/>
  <c r="AK60" i="283"/>
  <c r="AK58" i="283"/>
  <c r="G191" i="283" s="1"/>
  <c r="AK61" i="283"/>
  <c r="G190" i="283" s="1"/>
  <c r="AK59" i="283"/>
  <c r="G187" i="283" s="1"/>
  <c r="AO55" i="286"/>
  <c r="AN55" i="286"/>
  <c r="AK55" i="286"/>
  <c r="AJ55" i="286"/>
  <c r="AI55" i="286"/>
  <c r="AM53" i="286"/>
  <c r="AM56" i="286" s="1"/>
  <c r="AL53" i="286"/>
  <c r="AL56" i="286" s="1"/>
  <c r="AF53" i="286"/>
  <c r="AH102" i="297"/>
  <c r="J14" i="297"/>
  <c r="AO16" i="284"/>
  <c r="AK13" i="283"/>
  <c r="AG49" i="283"/>
  <c r="J185" i="283" s="1"/>
  <c r="AE50" i="283"/>
  <c r="AE49" i="283"/>
  <c r="AK52" i="283"/>
  <c r="G184" i="283" s="1"/>
  <c r="AK51" i="283"/>
  <c r="AG51" i="283"/>
  <c r="AE52" i="283"/>
  <c r="AE51" i="283"/>
  <c r="AK12" i="283"/>
  <c r="AG52" i="283"/>
  <c r="J184" i="283" s="1"/>
  <c r="U15" i="283"/>
  <c r="AF14" i="283"/>
  <c r="AI14" i="283"/>
  <c r="W15" i="283"/>
  <c r="AH14" i="283"/>
  <c r="AK11" i="283"/>
  <c r="Y15" i="283"/>
  <c r="V15" i="283"/>
  <c r="Z15" i="283"/>
  <c r="T15" i="283"/>
  <c r="M18" i="283"/>
  <c r="F23" i="283"/>
  <c r="M22" i="283"/>
  <c r="M11" i="283"/>
  <c r="M18" i="282"/>
  <c r="AM29" i="282"/>
  <c r="H82" i="282" s="1"/>
  <c r="AM30" i="282"/>
  <c r="H83" i="282" s="1"/>
  <c r="AM27" i="282"/>
  <c r="H80" i="282" s="1"/>
  <c r="AM28" i="282"/>
  <c r="H81" i="282" s="1"/>
  <c r="AG29" i="282"/>
  <c r="F82" i="282" s="1"/>
  <c r="AG28" i="282"/>
  <c r="F81" i="282" s="1"/>
  <c r="AG27" i="282"/>
  <c r="F80" i="282" s="1"/>
  <c r="AG30" i="282"/>
  <c r="F83" i="282" s="1"/>
  <c r="AH26" i="282"/>
  <c r="G79" i="282" s="1"/>
  <c r="AH38" i="284"/>
  <c r="I18" i="282"/>
  <c r="G126" i="297"/>
  <c r="D136" i="297"/>
  <c r="G136" i="297"/>
  <c r="AJ94" i="297"/>
  <c r="F18" i="297"/>
  <c r="E15" i="297"/>
  <c r="J15" i="297"/>
  <c r="D127" i="297"/>
  <c r="E18" i="297"/>
  <c r="H16" i="297"/>
  <c r="D15" i="297"/>
  <c r="AT114" i="297"/>
  <c r="F15" i="297"/>
  <c r="F138" i="297"/>
  <c r="AQ114" i="297"/>
  <c r="D138" i="297"/>
  <c r="AN114" i="297"/>
  <c r="F126" i="297"/>
  <c r="F136" i="297"/>
  <c r="F17" i="297"/>
  <c r="H15" i="297"/>
  <c r="D142" i="297"/>
  <c r="G16" i="297"/>
  <c r="D141" i="297"/>
  <c r="E138" i="297"/>
  <c r="C141" i="297"/>
  <c r="F142" i="297"/>
  <c r="H17" i="297"/>
  <c r="D126" i="297"/>
  <c r="E127" i="297"/>
  <c r="J16" i="297"/>
  <c r="E133" i="297"/>
  <c r="E16" i="297"/>
  <c r="AR114" i="297"/>
  <c r="AP114" i="297"/>
  <c r="F133" i="297"/>
  <c r="E17" i="297"/>
  <c r="G138" i="297"/>
  <c r="G130" i="297"/>
  <c r="D18" i="297"/>
  <c r="E129" i="297"/>
  <c r="AM114" i="297"/>
  <c r="G142" i="297"/>
  <c r="H18" i="297"/>
  <c r="E130" i="297"/>
  <c r="D16" i="297"/>
  <c r="G127" i="297"/>
  <c r="J18" i="297"/>
  <c r="C142" i="297"/>
  <c r="H14" i="297"/>
  <c r="F141" i="297"/>
  <c r="C126" i="297"/>
  <c r="F135" i="297"/>
  <c r="E126" i="297"/>
  <c r="D135" i="297"/>
  <c r="C136" i="297"/>
  <c r="F14" i="297"/>
  <c r="G141" i="297"/>
  <c r="E136" i="297"/>
  <c r="F16" i="297"/>
  <c r="G17" i="297"/>
  <c r="F130" i="297"/>
  <c r="D17" i="297"/>
  <c r="J17" i="297"/>
  <c r="F127" i="297"/>
  <c r="AG40" i="283"/>
  <c r="G185" i="283"/>
  <c r="G23" i="283"/>
  <c r="AI40" i="283"/>
  <c r="AH36" i="284"/>
  <c r="AJ40" i="283"/>
  <c r="AK10" i="283"/>
  <c r="AH40" i="282"/>
  <c r="AH40" i="283"/>
  <c r="AE40" i="283"/>
  <c r="AK39" i="283"/>
  <c r="AI16" i="283"/>
  <c r="AJ16" i="283"/>
  <c r="AF16" i="283"/>
  <c r="AE16" i="283"/>
  <c r="AH16" i="283"/>
  <c r="AG16" i="283"/>
  <c r="AF40" i="283"/>
  <c r="AI30" i="282"/>
  <c r="AH28" i="282"/>
  <c r="AH29" i="282"/>
  <c r="AH27" i="282"/>
  <c r="AN28" i="282"/>
  <c r="AN26" i="282"/>
  <c r="AN29" i="282"/>
  <c r="I82" i="282" s="1"/>
  <c r="AN27" i="282"/>
  <c r="I80" i="282" s="1"/>
  <c r="AH49" i="282"/>
  <c r="L27" i="282"/>
  <c r="AG79" i="284" l="1"/>
  <c r="D14" i="297"/>
  <c r="D22" i="297" s="1"/>
  <c r="AO20" i="286"/>
  <c r="AI20" i="286"/>
  <c r="AK20" i="286"/>
  <c r="AI57" i="286"/>
  <c r="C22" i="297"/>
  <c r="AL16" i="284"/>
  <c r="AE78" i="284"/>
  <c r="AI78" i="284" s="1"/>
  <c r="M23" i="283"/>
  <c r="AJ57" i="286"/>
  <c r="AE80" i="284"/>
  <c r="AI80" i="284" s="1"/>
  <c r="AN57" i="286"/>
  <c r="AL55" i="286"/>
  <c r="AL57" i="286" s="1"/>
  <c r="AK47" i="283"/>
  <c r="AK48" i="283" s="1"/>
  <c r="E14" i="297"/>
  <c r="E22" i="297" s="1"/>
  <c r="AG81" i="284"/>
  <c r="AH101" i="297"/>
  <c r="AH106" i="297" s="1"/>
  <c r="H139" i="297" s="1"/>
  <c r="AK57" i="286"/>
  <c r="AO57" i="286"/>
  <c r="AN20" i="286"/>
  <c r="AE47" i="283"/>
  <c r="I17" i="297"/>
  <c r="I25" i="297" s="1"/>
  <c r="AJ65" i="283"/>
  <c r="AF72" i="283" s="1"/>
  <c r="AM18" i="286"/>
  <c r="AM20" i="286" s="1"/>
  <c r="AM55" i="286"/>
  <c r="AM57" i="286" s="1"/>
  <c r="AE56" i="283"/>
  <c r="AE57" i="283" s="1"/>
  <c r="AG56" i="283"/>
  <c r="AG63" i="283" s="1"/>
  <c r="AL18" i="286"/>
  <c r="AL20" i="286" s="1"/>
  <c r="H19" i="297"/>
  <c r="AH56" i="283"/>
  <c r="AH57" i="283" s="1"/>
  <c r="AH65" i="283"/>
  <c r="AI72" i="283" s="1"/>
  <c r="I18" i="297"/>
  <c r="I26" i="297" s="1"/>
  <c r="AJ20" i="286"/>
  <c r="D139" i="297"/>
  <c r="AC122" i="297"/>
  <c r="G139" i="297"/>
  <c r="AC125" i="297"/>
  <c r="F139" i="297"/>
  <c r="AC124" i="297"/>
  <c r="E139" i="297"/>
  <c r="AC123" i="297"/>
  <c r="AG110" i="297"/>
  <c r="AG112" i="297"/>
  <c r="AG113" i="297"/>
  <c r="AG114" i="297"/>
  <c r="AG111" i="297"/>
  <c r="AF111" i="297"/>
  <c r="AF112" i="297"/>
  <c r="AF113" i="297"/>
  <c r="AF114" i="297"/>
  <c r="AF110" i="297"/>
  <c r="AE111" i="297"/>
  <c r="AE112" i="297"/>
  <c r="AE113" i="297"/>
  <c r="AE114" i="297"/>
  <c r="G14" i="297"/>
  <c r="G22" i="297" s="1"/>
  <c r="AE110" i="297"/>
  <c r="AD110" i="297"/>
  <c r="AD111" i="297"/>
  <c r="AD112" i="297"/>
  <c r="AD113" i="297"/>
  <c r="AD114" i="297"/>
  <c r="H133" i="297"/>
  <c r="D159" i="297" s="1"/>
  <c r="AC111" i="297"/>
  <c r="AC112" i="297"/>
  <c r="AC113" i="297"/>
  <c r="AC114" i="297"/>
  <c r="AC110" i="297"/>
  <c r="AB111" i="297"/>
  <c r="AB112" i="297"/>
  <c r="AB113" i="297"/>
  <c r="AB114" i="297"/>
  <c r="AB110" i="297"/>
  <c r="AG65" i="283"/>
  <c r="J194" i="283" s="1"/>
  <c r="AE65" i="283"/>
  <c r="AE66" i="283" s="1"/>
  <c r="AF56" i="283"/>
  <c r="AF57" i="283" s="1"/>
  <c r="H190" i="283"/>
  <c r="AM122" i="297"/>
  <c r="AM121" i="297"/>
  <c r="AQ121" i="297"/>
  <c r="AQ122" i="297"/>
  <c r="AN121" i="297"/>
  <c r="AN122" i="297"/>
  <c r="AR121" i="297"/>
  <c r="AR122" i="297"/>
  <c r="AK56" i="283"/>
  <c r="G188" i="283" s="1"/>
  <c r="G189" i="283"/>
  <c r="I189" i="283"/>
  <c r="AJ56" i="283"/>
  <c r="AJ57" i="283" s="1"/>
  <c r="H189" i="283"/>
  <c r="K189" i="283"/>
  <c r="J189" i="283"/>
  <c r="AK65" i="283"/>
  <c r="G194" i="283" s="1"/>
  <c r="G195" i="283"/>
  <c r="J195" i="283"/>
  <c r="K195" i="283"/>
  <c r="I195" i="283"/>
  <c r="I194" i="283"/>
  <c r="H142" i="297"/>
  <c r="I16" i="297"/>
  <c r="I24" i="297" s="1"/>
  <c r="I15" i="297"/>
  <c r="I23" i="297" s="1"/>
  <c r="F19" i="297"/>
  <c r="AG47" i="283"/>
  <c r="AG48" i="283" s="1"/>
  <c r="AJ50" i="283"/>
  <c r="F181" i="283" s="1"/>
  <c r="AJ49" i="283"/>
  <c r="F185" i="283" s="1"/>
  <c r="AH50" i="283"/>
  <c r="K181" i="283" s="1"/>
  <c r="AH49" i="283"/>
  <c r="K185" i="283" s="1"/>
  <c r="AF50" i="283"/>
  <c r="I181" i="283" s="1"/>
  <c r="AF49" i="283"/>
  <c r="I185" i="283" s="1"/>
  <c r="AJ52" i="283"/>
  <c r="F184" i="283" s="1"/>
  <c r="AJ51" i="283"/>
  <c r="F183" i="283" s="1"/>
  <c r="AH52" i="283"/>
  <c r="K184" i="283" s="1"/>
  <c r="AH51" i="283"/>
  <c r="K183" i="283" s="1"/>
  <c r="AF52" i="283"/>
  <c r="I184" i="283" s="1"/>
  <c r="AF51" i="283"/>
  <c r="J183" i="283"/>
  <c r="I79" i="282"/>
  <c r="G83" i="282"/>
  <c r="I81" i="282"/>
  <c r="I83" i="282"/>
  <c r="H136" i="297"/>
  <c r="AH82" i="284"/>
  <c r="AE81" i="284"/>
  <c r="AI81" i="284" s="1"/>
  <c r="E23" i="297"/>
  <c r="C23" i="297"/>
  <c r="H23" i="297"/>
  <c r="F23" i="297"/>
  <c r="G23" i="297"/>
  <c r="D23" i="297"/>
  <c r="E26" i="297"/>
  <c r="AR120" i="297"/>
  <c r="H126" i="297"/>
  <c r="AR118" i="297"/>
  <c r="G25" i="297"/>
  <c r="AR119" i="297"/>
  <c r="D25" i="297"/>
  <c r="F24" i="297"/>
  <c r="H132" i="297"/>
  <c r="AN118" i="297"/>
  <c r="AN120" i="297"/>
  <c r="AN119" i="297"/>
  <c r="D24" i="297"/>
  <c r="F22" i="297"/>
  <c r="C24" i="297"/>
  <c r="G24" i="297"/>
  <c r="H24" i="297"/>
  <c r="C25" i="297"/>
  <c r="F25" i="297"/>
  <c r="H25" i="297"/>
  <c r="H26" i="297"/>
  <c r="AM118" i="297"/>
  <c r="AM120" i="297"/>
  <c r="H129" i="297"/>
  <c r="AM119" i="297"/>
  <c r="H127" i="297"/>
  <c r="D26" i="297"/>
  <c r="H130" i="297"/>
  <c r="H22" i="297"/>
  <c r="AQ118" i="297"/>
  <c r="AQ119" i="297"/>
  <c r="H141" i="297"/>
  <c r="AQ120" i="297"/>
  <c r="E25" i="297"/>
  <c r="E24" i="297"/>
  <c r="C26" i="297"/>
  <c r="F26" i="297"/>
  <c r="G26" i="297"/>
  <c r="G183" i="283"/>
  <c r="AF66" i="283"/>
  <c r="AH72" i="283"/>
  <c r="AE72" i="283"/>
  <c r="AK40" i="283"/>
  <c r="AK16" i="283"/>
  <c r="G80" i="282"/>
  <c r="AI27" i="282"/>
  <c r="G82" i="282"/>
  <c r="AI29" i="282"/>
  <c r="AI26" i="282"/>
  <c r="G81" i="282"/>
  <c r="AI28" i="282"/>
  <c r="G19" i="297" l="1"/>
  <c r="D19" i="297"/>
  <c r="F194" i="283"/>
  <c r="E19" i="297"/>
  <c r="AK63" i="283"/>
  <c r="AK57" i="283"/>
  <c r="AG57" i="283"/>
  <c r="H188" i="283"/>
  <c r="J188" i="283"/>
  <c r="AK66" i="283"/>
  <c r="G159" i="297"/>
  <c r="AH66" i="283"/>
  <c r="AK54" i="283"/>
  <c r="AH81" i="284"/>
  <c r="I14" i="297"/>
  <c r="I19" i="297" s="1"/>
  <c r="C139" i="297"/>
  <c r="C165" i="297" s="1"/>
  <c r="G182" i="283"/>
  <c r="AJ72" i="283"/>
  <c r="AJ63" i="283"/>
  <c r="AH63" i="283"/>
  <c r="AC121" i="297"/>
  <c r="F188" i="283"/>
  <c r="AF63" i="283"/>
  <c r="AF47" i="283"/>
  <c r="AF48" i="283" s="1"/>
  <c r="K194" i="283"/>
  <c r="I188" i="283"/>
  <c r="AG66" i="283"/>
  <c r="AE63" i="283"/>
  <c r="H194" i="283"/>
  <c r="AG72" i="283"/>
  <c r="K188" i="283"/>
  <c r="AJ66" i="283"/>
  <c r="I183" i="283"/>
  <c r="AH47" i="283"/>
  <c r="AH48" i="283" s="1"/>
  <c r="AJ47" i="283"/>
  <c r="AJ48" i="283" s="1"/>
  <c r="AQ123" i="297"/>
  <c r="AM123" i="297"/>
  <c r="AN123" i="297"/>
  <c r="AR123" i="297"/>
  <c r="C159" i="297"/>
  <c r="F159" i="297"/>
  <c r="E159" i="297"/>
  <c r="E167" i="297"/>
  <c r="G167" i="297"/>
  <c r="F167" i="297"/>
  <c r="C167" i="297"/>
  <c r="D167" i="297"/>
  <c r="E168" i="297"/>
  <c r="C168" i="297"/>
  <c r="G168" i="297"/>
  <c r="F168" i="297"/>
  <c r="D168" i="297"/>
  <c r="F165" i="297"/>
  <c r="G165" i="297"/>
  <c r="E165" i="297"/>
  <c r="D165" i="297"/>
  <c r="E162" i="297"/>
  <c r="C162" i="297"/>
  <c r="F162" i="297"/>
  <c r="G162" i="297"/>
  <c r="D162" i="297"/>
  <c r="D158" i="297"/>
  <c r="C158" i="297"/>
  <c r="E158" i="297"/>
  <c r="G158" i="297"/>
  <c r="F158" i="297"/>
  <c r="D156" i="297"/>
  <c r="F156" i="297"/>
  <c r="E156" i="297"/>
  <c r="G156" i="297"/>
  <c r="D155" i="297"/>
  <c r="E155" i="297"/>
  <c r="F155" i="297"/>
  <c r="G155" i="297"/>
  <c r="C156" i="297"/>
  <c r="C155" i="297"/>
  <c r="F153" i="297"/>
  <c r="E153" i="297"/>
  <c r="D153" i="297"/>
  <c r="E152" i="297"/>
  <c r="D152" i="297"/>
  <c r="F152" i="297"/>
  <c r="C153" i="297"/>
  <c r="C152" i="297"/>
  <c r="AE48" i="283"/>
  <c r="H183" i="283"/>
  <c r="H184" i="283"/>
  <c r="J182" i="283"/>
  <c r="AH78" i="284"/>
  <c r="AH79" i="284"/>
  <c r="AH80" i="284"/>
  <c r="G152" i="297"/>
  <c r="G153" i="297"/>
  <c r="AG54" i="283"/>
  <c r="I22" i="297" l="1"/>
  <c r="AF54" i="283"/>
  <c r="AH54" i="283"/>
  <c r="I182" i="283"/>
  <c r="K182" i="283"/>
  <c r="AJ54" i="283"/>
  <c r="F182" i="283"/>
  <c r="H182" i="283"/>
  <c r="AE54" i="283"/>
  <c r="H185" i="283" l="1"/>
  <c r="H181" i="283"/>
  <c r="AS109" i="297" l="1"/>
  <c r="C138" i="297" s="1"/>
  <c r="AS114" i="297"/>
  <c r="AP121" i="297" l="1"/>
  <c r="AP122" i="297"/>
  <c r="H138" i="297"/>
  <c r="AP120" i="297"/>
  <c r="AP119" i="297"/>
  <c r="AP118" i="297"/>
  <c r="AP123" i="297" l="1"/>
  <c r="G164" i="297"/>
  <c r="E164" i="297"/>
  <c r="D164" i="297"/>
  <c r="F164" i="297"/>
  <c r="C164" i="297"/>
  <c r="AM56" i="297"/>
  <c r="AO114" i="297" s="1"/>
  <c r="AU56" i="297" l="1"/>
  <c r="AO121" i="297"/>
  <c r="AO122" i="297"/>
  <c r="C135" i="297"/>
  <c r="AO118" i="297"/>
  <c r="H135" i="297"/>
  <c r="AO119" i="297"/>
  <c r="AO120" i="297"/>
  <c r="AO123" i="297" l="1"/>
  <c r="E161" i="297"/>
  <c r="D161" i="297"/>
  <c r="F161" i="297"/>
  <c r="G161" i="297"/>
  <c r="C161" i="297"/>
  <c r="AC126" i="297"/>
  <c r="AD126" i="297"/>
  <c r="AB126" i="297"/>
  <c r="AF124" i="297" s="1"/>
  <c r="AH121" i="297" l="1"/>
  <c r="AH122" i="297"/>
  <c r="AH123" i="297"/>
  <c r="AH124" i="297"/>
  <c r="AH125" i="297"/>
  <c r="AF121" i="297"/>
  <c r="AF122" i="297"/>
  <c r="AF123" i="297"/>
  <c r="AF125" i="297"/>
  <c r="AG122" i="297"/>
  <c r="AG121" i="297"/>
  <c r="AG125" i="297"/>
  <c r="AG124" i="297"/>
  <c r="AG123" i="297"/>
  <c r="AG126" i="297" l="1"/>
  <c r="AH126" i="297"/>
  <c r="AF126" i="297"/>
</calcChain>
</file>

<file path=xl/sharedStrings.xml><?xml version="1.0" encoding="utf-8"?>
<sst xmlns="http://schemas.openxmlformats.org/spreadsheetml/2006/main" count="5379" uniqueCount="2858">
  <si>
    <t>Tenure</t>
  </si>
  <si>
    <t>Total</t>
  </si>
  <si>
    <t>All</t>
  </si>
  <si>
    <t>All Households</t>
  </si>
  <si>
    <t>Renter</t>
  </si>
  <si>
    <t>Owner</t>
  </si>
  <si>
    <t>T8_est68</t>
  </si>
  <si>
    <t>T8_est69</t>
  </si>
  <si>
    <t>T8_est82</t>
  </si>
  <si>
    <t>T8_est95</t>
  </si>
  <si>
    <t>T8_est108</t>
  </si>
  <si>
    <t>T8_est121</t>
  </si>
  <si>
    <t>Not Cost Burdened</t>
  </si>
  <si>
    <t>Not Calculated</t>
  </si>
  <si>
    <t>16000US5300100</t>
  </si>
  <si>
    <t>Aberdeen city, Washington</t>
  </si>
  <si>
    <t>16000US5300135</t>
  </si>
  <si>
    <t>Aberdeen Gardens CDP, Washington</t>
  </si>
  <si>
    <t>16000US5300275</t>
  </si>
  <si>
    <t>Acme CDP, Washington</t>
  </si>
  <si>
    <t>16000US5300380</t>
  </si>
  <si>
    <t>Addy CDP, Washington</t>
  </si>
  <si>
    <t>16000US5300800</t>
  </si>
  <si>
    <t>Ahtanum CDP, Washington</t>
  </si>
  <si>
    <t>16000US5300905</t>
  </si>
  <si>
    <t>Airway Heights city, Washington</t>
  </si>
  <si>
    <t>16000US5301010</t>
  </si>
  <si>
    <t>Albion town, Washington</t>
  </si>
  <si>
    <t>16000US5301045</t>
  </si>
  <si>
    <t>Alder CDP, Washington</t>
  </si>
  <si>
    <t>16000US5301150</t>
  </si>
  <si>
    <t>Alderton CDP, Washington</t>
  </si>
  <si>
    <t>16000US5301185</t>
  </si>
  <si>
    <t>Alderwood Manor CDP, Washington</t>
  </si>
  <si>
    <t>16000US5301255</t>
  </si>
  <si>
    <t>Alger CDP, Washington</t>
  </si>
  <si>
    <t>16000US5301290</t>
  </si>
  <si>
    <t>Algona city, Washington</t>
  </si>
  <si>
    <t>16000US5301430</t>
  </si>
  <si>
    <t>Allyn CDP, Washington</t>
  </si>
  <si>
    <t>16000US5301500</t>
  </si>
  <si>
    <t>Almira town, Washington</t>
  </si>
  <si>
    <t>16000US5301745</t>
  </si>
  <si>
    <t>Altoona CDP, Washington</t>
  </si>
  <si>
    <t>16000US5301780</t>
  </si>
  <si>
    <t>Amanda Park CDP, Washington</t>
  </si>
  <si>
    <t>16000US5301850</t>
  </si>
  <si>
    <t>Amboy CDP, Washington</t>
  </si>
  <si>
    <t>16000US5301920</t>
  </si>
  <si>
    <t>Ames Lake CDP, Washington</t>
  </si>
  <si>
    <t>16000US5301990</t>
  </si>
  <si>
    <t>Anacortes city, Washington</t>
  </si>
  <si>
    <t>16000US5302060</t>
  </si>
  <si>
    <t>Anderson Island CDP, Washington</t>
  </si>
  <si>
    <t>16000US5302585</t>
  </si>
  <si>
    <t>Arlington city, Washington</t>
  </si>
  <si>
    <t>16000US5302620</t>
  </si>
  <si>
    <t>Arlington Heights CDP, Washington</t>
  </si>
  <si>
    <t>16000US5302910</t>
  </si>
  <si>
    <t>Artondale CDP, Washington</t>
  </si>
  <si>
    <t>16000US5303005</t>
  </si>
  <si>
    <t>Ashford CDP, Washington</t>
  </si>
  <si>
    <t>16000US5303075</t>
  </si>
  <si>
    <t>Asotin city, Washington</t>
  </si>
  <si>
    <t>16000US5303180</t>
  </si>
  <si>
    <t>Auburn city, Washington</t>
  </si>
  <si>
    <t>16000US5303736</t>
  </si>
  <si>
    <t>Bainbridge Island city, Washington</t>
  </si>
  <si>
    <t>16000US5304100</t>
  </si>
  <si>
    <t>Bangor Base CDP, Washington</t>
  </si>
  <si>
    <t>16000US5304125</t>
  </si>
  <si>
    <t>Banks Lake South CDP, Washington</t>
  </si>
  <si>
    <t>16000US5304195</t>
  </si>
  <si>
    <t>Barberton CDP, Washington</t>
  </si>
  <si>
    <t>16000US5304300</t>
  </si>
  <si>
    <t>Baring CDP, Washington</t>
  </si>
  <si>
    <t>16000US5304347</t>
  </si>
  <si>
    <t>Barney's Junction CDP, Washington</t>
  </si>
  <si>
    <t>16000US5304370</t>
  </si>
  <si>
    <t>Barstow CDP, Washington</t>
  </si>
  <si>
    <t>16000US5304405</t>
  </si>
  <si>
    <t>Basin City CDP, Washington</t>
  </si>
  <si>
    <t>16000US5304475</t>
  </si>
  <si>
    <t>Battle Ground city, Washington</t>
  </si>
  <si>
    <t>16000US5304615</t>
  </si>
  <si>
    <t>Bay Center CDP, Washington</t>
  </si>
  <si>
    <t>16000US5304790</t>
  </si>
  <si>
    <t>Bay View CDP, Washington</t>
  </si>
  <si>
    <t>16000US5304895</t>
  </si>
  <si>
    <t>Beaux Arts Village town, Washington</t>
  </si>
  <si>
    <t>16000US5305140</t>
  </si>
  <si>
    <t>Belfair CDP, Washington</t>
  </si>
  <si>
    <t>16000US5305210</t>
  </si>
  <si>
    <t>Bellevue city, Washington</t>
  </si>
  <si>
    <t>16000US5305245</t>
  </si>
  <si>
    <t>Bell Hill CDP, Washington</t>
  </si>
  <si>
    <t>16000US5305280</t>
  </si>
  <si>
    <t>Bellingham city, Washington</t>
  </si>
  <si>
    <t>16000US5305560</t>
  </si>
  <si>
    <t>Benton City city, Washington</t>
  </si>
  <si>
    <t>16000US5305735</t>
  </si>
  <si>
    <t>Bethel CDP, Washington</t>
  </si>
  <si>
    <t>16000US5305980</t>
  </si>
  <si>
    <t>Bickleton CDP, Washington</t>
  </si>
  <si>
    <t>16000US5306050</t>
  </si>
  <si>
    <t>Big Lake CDP, Washington</t>
  </si>
  <si>
    <t>16000US5306085</t>
  </si>
  <si>
    <t>Bingen city, Washington</t>
  </si>
  <si>
    <t>16000US5306190</t>
  </si>
  <si>
    <t>Birch Bay CDP, Washington</t>
  </si>
  <si>
    <t>16000US5306330</t>
  </si>
  <si>
    <t>Black Diamond city, Washington</t>
  </si>
  <si>
    <t>16000US5306505</t>
  </si>
  <si>
    <t>Blaine city, Washington</t>
  </si>
  <si>
    <t>16000US5306855</t>
  </si>
  <si>
    <t>Blyn CDP, Washington</t>
  </si>
  <si>
    <t>16000US5307170</t>
  </si>
  <si>
    <t>Bonney Lake city, Washington</t>
  </si>
  <si>
    <t>16000US5307380</t>
  </si>
  <si>
    <t>Bothell city, Washington</t>
  </si>
  <si>
    <t>16000US5307390</t>
  </si>
  <si>
    <t>Bothell East CDP, Washington</t>
  </si>
  <si>
    <t>16000US5307395</t>
  </si>
  <si>
    <t>Bothell West CDP, Washington</t>
  </si>
  <si>
    <t>16000US5307397</t>
  </si>
  <si>
    <t>Boulevard Park CDP, Washington</t>
  </si>
  <si>
    <t>16000US5307485</t>
  </si>
  <si>
    <t>Boyds CDP, Washington</t>
  </si>
  <si>
    <t>16000US5307590</t>
  </si>
  <si>
    <t>Brady CDP, Washington</t>
  </si>
  <si>
    <t>16000US5307695</t>
  </si>
  <si>
    <t>Bremerton city, Washington</t>
  </si>
  <si>
    <t>16000US5307835</t>
  </si>
  <si>
    <t>Brewster city, Washington</t>
  </si>
  <si>
    <t>16000US5307870</t>
  </si>
  <si>
    <t>Bridgeport city, Washington</t>
  </si>
  <si>
    <t>16000US5307940</t>
  </si>
  <si>
    <t>Brier city, Washington</t>
  </si>
  <si>
    <t>16000US5308080</t>
  </si>
  <si>
    <t>Brinnon CDP, Washington</t>
  </si>
  <si>
    <t>16000US5308325</t>
  </si>
  <si>
    <t>Browns Point CDP, Washington</t>
  </si>
  <si>
    <t>16000US5308465</t>
  </si>
  <si>
    <t>Brush Prairie CDP, Washington</t>
  </si>
  <si>
    <t>16000US5308500</t>
  </si>
  <si>
    <t>Bryant CDP, Washington</t>
  </si>
  <si>
    <t>16000US5308552</t>
  </si>
  <si>
    <t>Bryn Mawr-Skyway CDP, Washington</t>
  </si>
  <si>
    <t>16000US5308570</t>
  </si>
  <si>
    <t>Buckley city, Washington</t>
  </si>
  <si>
    <t>16000US5308605</t>
  </si>
  <si>
    <t>Bucoda town, Washington</t>
  </si>
  <si>
    <t>16000US5308640</t>
  </si>
  <si>
    <t>Buena CDP, Washington</t>
  </si>
  <si>
    <t>16000US5308770</t>
  </si>
  <si>
    <t>Bunk Foss CDP, Washington</t>
  </si>
  <si>
    <t>16000US5308780</t>
  </si>
  <si>
    <t>Burbank CDP, Washington</t>
  </si>
  <si>
    <t>16000US5308850</t>
  </si>
  <si>
    <t>Burien city, Washington</t>
  </si>
  <si>
    <t>16000US5308885</t>
  </si>
  <si>
    <t>Burley CDP, Washington</t>
  </si>
  <si>
    <t>16000US5308920</t>
  </si>
  <si>
    <t>Burlington city, Washington</t>
  </si>
  <si>
    <t>16000US5309365</t>
  </si>
  <si>
    <t>Camano CDP, Washington</t>
  </si>
  <si>
    <t>16000US5309480</t>
  </si>
  <si>
    <t>Camas city, Washington</t>
  </si>
  <si>
    <t>16000US5309810</t>
  </si>
  <si>
    <t>Canterwood CDP, Washington</t>
  </si>
  <si>
    <t>16000US5309820</t>
  </si>
  <si>
    <t>Canyon Creek CDP, Washington</t>
  </si>
  <si>
    <t>16000US5309970</t>
  </si>
  <si>
    <t>Carbonado town, Washington</t>
  </si>
  <si>
    <t>16000US5310075</t>
  </si>
  <si>
    <t>Carlsborg CDP, Washington</t>
  </si>
  <si>
    <t>16000US5310215</t>
  </si>
  <si>
    <t>Carnation city, Washington</t>
  </si>
  <si>
    <t>16000US5310320</t>
  </si>
  <si>
    <t>Carson CDP, Washington</t>
  </si>
  <si>
    <t>16000US5310455</t>
  </si>
  <si>
    <t>Cascade Valley CDP, Washington</t>
  </si>
  <si>
    <t>16000US5310495</t>
  </si>
  <si>
    <t>Cashmere city, Washington</t>
  </si>
  <si>
    <t>16000US5310565</t>
  </si>
  <si>
    <t>Castle Rock city, Washington</t>
  </si>
  <si>
    <t>16000US5310600</t>
  </si>
  <si>
    <t>Cathcart CDP, Washington</t>
  </si>
  <si>
    <t>16000US5310635</t>
  </si>
  <si>
    <t>Cathlamet town, Washington</t>
  </si>
  <si>
    <t>16000US5310645</t>
  </si>
  <si>
    <t>Cavalero CDP, Washington</t>
  </si>
  <si>
    <t>16000US5311090</t>
  </si>
  <si>
    <t>Centerville CDP, Washington</t>
  </si>
  <si>
    <t>16000US5311160</t>
  </si>
  <si>
    <t>Centralia city, Washington</t>
  </si>
  <si>
    <t>16000US5311195</t>
  </si>
  <si>
    <t>Central Park CDP, Washington</t>
  </si>
  <si>
    <t>16000US5311325</t>
  </si>
  <si>
    <t>Chain Lake CDP, Washington</t>
  </si>
  <si>
    <t>16000US5311475</t>
  </si>
  <si>
    <t>Chehalis city, Washington</t>
  </si>
  <si>
    <t>16000US5311615</t>
  </si>
  <si>
    <t>Chelan city, Washington</t>
  </si>
  <si>
    <t>16000US5311685</t>
  </si>
  <si>
    <t>Chelan Falls CDP, Washington</t>
  </si>
  <si>
    <t>16000US5311825</t>
  </si>
  <si>
    <t>Cheney city, Washington</t>
  </si>
  <si>
    <t>16000US5312015</t>
  </si>
  <si>
    <t>Cherry Grove CDP, Washington</t>
  </si>
  <si>
    <t>16000US5312140</t>
  </si>
  <si>
    <t>Chewelah city, Washington</t>
  </si>
  <si>
    <t>16000US5312175</t>
  </si>
  <si>
    <t>Chico CDP, Washington</t>
  </si>
  <si>
    <t>16000US5312315</t>
  </si>
  <si>
    <t>Chinook CDP, Washington</t>
  </si>
  <si>
    <t>16000US5312525</t>
  </si>
  <si>
    <t>Clallam Bay CDP, Washington</t>
  </si>
  <si>
    <t>16000US5312630</t>
  </si>
  <si>
    <t>Clarkston city, Washington</t>
  </si>
  <si>
    <t>16000US5312680</t>
  </si>
  <si>
    <t>Clarkston Heights-Vineland CDP, Washington</t>
  </si>
  <si>
    <t>16000US5312735</t>
  </si>
  <si>
    <t>Clayton CDP, Washington</t>
  </si>
  <si>
    <t>16000US5312820</t>
  </si>
  <si>
    <t>Clear Lake CDP (Pierce County), Washington</t>
  </si>
  <si>
    <t>16000US5312840</t>
  </si>
  <si>
    <t>Clear Lake CDP (Skagit County), Washington</t>
  </si>
  <si>
    <t>16000US5312875</t>
  </si>
  <si>
    <t>Clearview CDP, Washington</t>
  </si>
  <si>
    <t>16000US5312945</t>
  </si>
  <si>
    <t>Cle Elum city, Washington</t>
  </si>
  <si>
    <t>16000US5313015</t>
  </si>
  <si>
    <t>Cliffdell CDP, Washington</t>
  </si>
  <si>
    <t>16000US5313155</t>
  </si>
  <si>
    <t>Clinton CDP, Washington</t>
  </si>
  <si>
    <t>16000US5313215</t>
  </si>
  <si>
    <t>Clover Creek CDP, Washington</t>
  </si>
  <si>
    <t>16000US5313365</t>
  </si>
  <si>
    <t>Clyde Hill city, Washington</t>
  </si>
  <si>
    <t>16000US5313595</t>
  </si>
  <si>
    <t>Cohassett Beach CDP, Washington</t>
  </si>
  <si>
    <t>16000US5313785</t>
  </si>
  <si>
    <t>Colfax city, Washington</t>
  </si>
  <si>
    <t>16000US5313855</t>
  </si>
  <si>
    <t>College Place city, Washington</t>
  </si>
  <si>
    <t>16000US5313890</t>
  </si>
  <si>
    <t>Colton town, Washington</t>
  </si>
  <si>
    <t>16000US5314170</t>
  </si>
  <si>
    <t>Colville city, Washington</t>
  </si>
  <si>
    <t>16000US5314310</t>
  </si>
  <si>
    <t>Conconully town, Washington</t>
  </si>
  <si>
    <t>16000US5314380</t>
  </si>
  <si>
    <t>Concrete town, Washington</t>
  </si>
  <si>
    <t>16000US5314485</t>
  </si>
  <si>
    <t>Connell city, Washington</t>
  </si>
  <si>
    <t>16000US5314520</t>
  </si>
  <si>
    <t>Conway CDP, Washington</t>
  </si>
  <si>
    <t>16000US5314660</t>
  </si>
  <si>
    <t>Copalis Beach CDP, Washington</t>
  </si>
  <si>
    <t>16000US5314870</t>
  </si>
  <si>
    <t>Cosmopolis city, Washington</t>
  </si>
  <si>
    <t>16000US5314940</t>
  </si>
  <si>
    <t>Cottage Lake CDP, Washington</t>
  </si>
  <si>
    <t>16000US5315080</t>
  </si>
  <si>
    <t>Coulee City town, Washington</t>
  </si>
  <si>
    <t>16000US5315115</t>
  </si>
  <si>
    <t>Coulee Dam town, Washington</t>
  </si>
  <si>
    <t>16000US5315150</t>
  </si>
  <si>
    <t>Country Homes CDP, Washington</t>
  </si>
  <si>
    <t>16000US5315185</t>
  </si>
  <si>
    <t>Coupeville town, Washington</t>
  </si>
  <si>
    <t>16000US5315290</t>
  </si>
  <si>
    <t>Covington city, Washington</t>
  </si>
  <si>
    <t>16000US5315325</t>
  </si>
  <si>
    <t>Cowiche CDP, Washington</t>
  </si>
  <si>
    <t>16000US5315710</t>
  </si>
  <si>
    <t>Creston town, Washington</t>
  </si>
  <si>
    <t>16000US5315780</t>
  </si>
  <si>
    <t>Crocker CDP, Washington</t>
  </si>
  <si>
    <t>16000US5316165</t>
  </si>
  <si>
    <t>Curlew CDP, Washington</t>
  </si>
  <si>
    <t>16000US5316170</t>
  </si>
  <si>
    <t>Curlew Lake CDP, Washington</t>
  </si>
  <si>
    <t>16000US5316340</t>
  </si>
  <si>
    <t>Cusick town, Washington</t>
  </si>
  <si>
    <t>16000US5316375</t>
  </si>
  <si>
    <t>Custer CDP, Washington</t>
  </si>
  <si>
    <t>16000US5316550</t>
  </si>
  <si>
    <t>Dallesport CDP, Washington</t>
  </si>
  <si>
    <t>16000US5316585</t>
  </si>
  <si>
    <t>Danville CDP, Washington</t>
  </si>
  <si>
    <t>16000US5316690</t>
  </si>
  <si>
    <t>Darrington town, Washington</t>
  </si>
  <si>
    <t>16000US5316760</t>
  </si>
  <si>
    <t>Dash Point CDP, Washington</t>
  </si>
  <si>
    <t>16000US5316795</t>
  </si>
  <si>
    <t>Davenport city, Washington</t>
  </si>
  <si>
    <t>16000US5316970</t>
  </si>
  <si>
    <t>Dayton city, Washington</t>
  </si>
  <si>
    <t>16000US5317215</t>
  </si>
  <si>
    <t>Deep River CDP, Washington</t>
  </si>
  <si>
    <t>16000US5317320</t>
  </si>
  <si>
    <t>Deer Park city, Washington</t>
  </si>
  <si>
    <t>16000US5317495</t>
  </si>
  <si>
    <t>Deming CDP, Washington</t>
  </si>
  <si>
    <t>16000US5317617</t>
  </si>
  <si>
    <t>Desert Aire CDP, Washington</t>
  </si>
  <si>
    <t>16000US5317635</t>
  </si>
  <si>
    <t>Des Moines city, Washington</t>
  </si>
  <si>
    <t>16000US5317880</t>
  </si>
  <si>
    <t>Disautel CDP, Washington</t>
  </si>
  <si>
    <t>16000US5318055</t>
  </si>
  <si>
    <t>Dixie CDP, Washington</t>
  </si>
  <si>
    <t>16000US5318198</t>
  </si>
  <si>
    <t>Dollars Corner CDP, Washington</t>
  </si>
  <si>
    <t>16000US5318265</t>
  </si>
  <si>
    <t>Donald CDP, Washington</t>
  </si>
  <si>
    <t>16000US5318775</t>
  </si>
  <si>
    <t>Duluth CDP, Washington</t>
  </si>
  <si>
    <t>16000US5318965</t>
  </si>
  <si>
    <t>DuPont city, Washington</t>
  </si>
  <si>
    <t>16000US5319035</t>
  </si>
  <si>
    <t>Duvall city, Washington</t>
  </si>
  <si>
    <t>16000US5319290</t>
  </si>
  <si>
    <t>East Cathlamet CDP, Washington</t>
  </si>
  <si>
    <t>16000US5319630</t>
  </si>
  <si>
    <t>Eastmont CDP, Washington</t>
  </si>
  <si>
    <t>16000US5319700</t>
  </si>
  <si>
    <t>Easton CDP, Washington</t>
  </si>
  <si>
    <t>16000US5319770</t>
  </si>
  <si>
    <t>East Port Orchard CDP, Washington</t>
  </si>
  <si>
    <t>16000US5319857</t>
  </si>
  <si>
    <t>East Renton Highlands CDP, Washington</t>
  </si>
  <si>
    <t>16000US5320155</t>
  </si>
  <si>
    <t>East Wenatchee city, Washington</t>
  </si>
  <si>
    <t>16000US5320260</t>
  </si>
  <si>
    <t>Eatonville town, Washington</t>
  </si>
  <si>
    <t>16000US5320645</t>
  </si>
  <si>
    <t>Edgewood city, Washington</t>
  </si>
  <si>
    <t>16000US5320680</t>
  </si>
  <si>
    <t>Edison CDP, Washington</t>
  </si>
  <si>
    <t>16000US5320750</t>
  </si>
  <si>
    <t>Edmonds city, Washington</t>
  </si>
  <si>
    <t>16000US5320890</t>
  </si>
  <si>
    <t>Elbe CDP, Washington</t>
  </si>
  <si>
    <t>16000US5321030</t>
  </si>
  <si>
    <t>Electric City city, Washington</t>
  </si>
  <si>
    <t>16000US5321205</t>
  </si>
  <si>
    <t>Elk Plain CDP, Washington</t>
  </si>
  <si>
    <t>16000US5321240</t>
  </si>
  <si>
    <t>Ellensburg city, Washington</t>
  </si>
  <si>
    <t>16000US5321450</t>
  </si>
  <si>
    <t>Elma city, Washington</t>
  </si>
  <si>
    <t>16000US5321485</t>
  </si>
  <si>
    <t>Elmer City town, Washington</t>
  </si>
  <si>
    <t>16000US5321730</t>
  </si>
  <si>
    <t>Endicott town, Washington</t>
  </si>
  <si>
    <t>16000US5321800</t>
  </si>
  <si>
    <t>Enetai CDP, Washington</t>
  </si>
  <si>
    <t>16000US5322010</t>
  </si>
  <si>
    <t>Entiat city, Washington</t>
  </si>
  <si>
    <t>16000US5322045</t>
  </si>
  <si>
    <t>Enumclaw city, Washington</t>
  </si>
  <si>
    <t>16000US5322080</t>
  </si>
  <si>
    <t>Ephrata city, Washington</t>
  </si>
  <si>
    <t>16000US5322150</t>
  </si>
  <si>
    <t>Eschbach CDP, Washington</t>
  </si>
  <si>
    <t>16000US5322255</t>
  </si>
  <si>
    <t>Esperance CDP, Washington</t>
  </si>
  <si>
    <t>16000US5322640</t>
  </si>
  <si>
    <t>Everett city, Washington</t>
  </si>
  <si>
    <t>16000US5322745</t>
  </si>
  <si>
    <t>Everson city, Washington</t>
  </si>
  <si>
    <t>16000US5322955</t>
  </si>
  <si>
    <t>Fairchild AFB CDP, Washington</t>
  </si>
  <si>
    <t>16000US5322990</t>
  </si>
  <si>
    <t>Fairfield town, Washington</t>
  </si>
  <si>
    <t>16000US5323160</t>
  </si>
  <si>
    <t>Fairwood CDP (King County), Washington</t>
  </si>
  <si>
    <t>16000US5323165</t>
  </si>
  <si>
    <t>Fairwood CDP (Spokane County), Washington</t>
  </si>
  <si>
    <t>16000US5323200</t>
  </si>
  <si>
    <t>Fall City CDP, Washington</t>
  </si>
  <si>
    <t>16000US5323340</t>
  </si>
  <si>
    <t>Farmington town, Washington</t>
  </si>
  <si>
    <t>16000US5323515</t>
  </si>
  <si>
    <t>Federal Way city, Washington</t>
  </si>
  <si>
    <t>16000US5323550</t>
  </si>
  <si>
    <t>Felida CDP, Washington</t>
  </si>
  <si>
    <t>16000US5323620</t>
  </si>
  <si>
    <t>Ferndale city, Washington</t>
  </si>
  <si>
    <t>16000US5323690</t>
  </si>
  <si>
    <t>Fern Prairie CDP, Washington</t>
  </si>
  <si>
    <t>16000US5323795</t>
  </si>
  <si>
    <t>Fife city, Washington</t>
  </si>
  <si>
    <t>16000US5323830</t>
  </si>
  <si>
    <t>Fife Heights CDP, Washington</t>
  </si>
  <si>
    <t>16000US5323865</t>
  </si>
  <si>
    <t>Finley CDP, Washington</t>
  </si>
  <si>
    <t>16000US5323970</t>
  </si>
  <si>
    <t>Fircrest city, Washington</t>
  </si>
  <si>
    <t>16000US5324188</t>
  </si>
  <si>
    <t>Five Corners CDP, Washington</t>
  </si>
  <si>
    <t>16000US5324425</t>
  </si>
  <si>
    <t>Fobes Hill CDP, Washington</t>
  </si>
  <si>
    <t>16000US5324565</t>
  </si>
  <si>
    <t>Fords Prairie CDP, Washington</t>
  </si>
  <si>
    <t>16000US5324810</t>
  </si>
  <si>
    <t>Forks city, Washington</t>
  </si>
  <si>
    <t>16000US5324915</t>
  </si>
  <si>
    <t>Fort Lewis CDP, Washington</t>
  </si>
  <si>
    <t>16000US5325300</t>
  </si>
  <si>
    <t>Four Lakes CDP, Washington</t>
  </si>
  <si>
    <t>16000US5325370</t>
  </si>
  <si>
    <t>Fox Island CDP, Washington</t>
  </si>
  <si>
    <t>16000US5325475</t>
  </si>
  <si>
    <t>Frederickson CDP, Washington</t>
  </si>
  <si>
    <t>16000US5325510</t>
  </si>
  <si>
    <t>Freeland CDP, Washington</t>
  </si>
  <si>
    <t>16000US5325615</t>
  </si>
  <si>
    <t>Friday Harbor town, Washington</t>
  </si>
  <si>
    <t>16000US5326140</t>
  </si>
  <si>
    <t>Garfield town, Washington</t>
  </si>
  <si>
    <t>16000US5326245</t>
  </si>
  <si>
    <t>Garrett CDP, Washington</t>
  </si>
  <si>
    <t>16000US5326420</t>
  </si>
  <si>
    <t>Geneva CDP, Washington</t>
  </si>
  <si>
    <t>16000US5326455</t>
  </si>
  <si>
    <t>George city, Washington</t>
  </si>
  <si>
    <t>16000US5326735</t>
  </si>
  <si>
    <t>Gig Harbor city, Washington</t>
  </si>
  <si>
    <t>16000US5326875</t>
  </si>
  <si>
    <t>Glacier CDP, Washington</t>
  </si>
  <si>
    <t>16000US5326945</t>
  </si>
  <si>
    <t>Gleed CDP, Washington</t>
  </si>
  <si>
    <t>16000US5327225</t>
  </si>
  <si>
    <t>Glenwood CDP, Washington</t>
  </si>
  <si>
    <t>16000US5327365</t>
  </si>
  <si>
    <t>Gold Bar city, Washington</t>
  </si>
  <si>
    <t>16000US5327435</t>
  </si>
  <si>
    <t>Goldendale city, Washington</t>
  </si>
  <si>
    <t>16000US5327680</t>
  </si>
  <si>
    <t>Gorst CDP, Washington</t>
  </si>
  <si>
    <t>16000US5327785</t>
  </si>
  <si>
    <t>Graham CDP, Washington</t>
  </si>
  <si>
    <t>16000US5327855</t>
  </si>
  <si>
    <t>Grand Coulee city, Washington</t>
  </si>
  <si>
    <t>16000US5327890</t>
  </si>
  <si>
    <t>Grand Mound CDP, Washington</t>
  </si>
  <si>
    <t>16000US5327925</t>
  </si>
  <si>
    <t>Grandview city, Washington</t>
  </si>
  <si>
    <t>16000US5327960</t>
  </si>
  <si>
    <t>Granger city, Washington</t>
  </si>
  <si>
    <t>16000US5327995</t>
  </si>
  <si>
    <t>Granite Falls city, Washington</t>
  </si>
  <si>
    <t>16000US5328135</t>
  </si>
  <si>
    <t>Grapeview CDP, Washington</t>
  </si>
  <si>
    <t>16000US5328345</t>
  </si>
  <si>
    <t>Grayland CDP, Washington</t>
  </si>
  <si>
    <t>16000US5328450</t>
  </si>
  <si>
    <t>Grays River CDP, Washington</t>
  </si>
  <si>
    <t>16000US5328590</t>
  </si>
  <si>
    <t>Green Bluff CDP, Washington</t>
  </si>
  <si>
    <t>16000US5328695</t>
  </si>
  <si>
    <t>Greenwater CDP, Washington</t>
  </si>
  <si>
    <t>16000US5329255</t>
  </si>
  <si>
    <t>Hamilton town, Washington</t>
  </si>
  <si>
    <t>16000US5329430</t>
  </si>
  <si>
    <t>Hansville CDP, Washington</t>
  </si>
  <si>
    <t>16000US5329710</t>
  </si>
  <si>
    <t>Harrah town, Washington</t>
  </si>
  <si>
    <t>16000US5329745</t>
  </si>
  <si>
    <t>Harrington city, Washington</t>
  </si>
  <si>
    <t>16000US5329920</t>
  </si>
  <si>
    <t>Hartline town, Washington</t>
  </si>
  <si>
    <t>16000US5330030</t>
  </si>
  <si>
    <t>Hat Island CDP, Washington</t>
  </si>
  <si>
    <t>16000US5330060</t>
  </si>
  <si>
    <t>Hatton town, Washington</t>
  </si>
  <si>
    <t>16000US5330305</t>
  </si>
  <si>
    <t>Hazel Dell CDP, Washington</t>
  </si>
  <si>
    <t>16000US5330690</t>
  </si>
  <si>
    <t>Herron Island CDP, Washington</t>
  </si>
  <si>
    <t>16000US5330750</t>
  </si>
  <si>
    <t>High Bridge CDP, Washington</t>
  </si>
  <si>
    <t>16000US5331495</t>
  </si>
  <si>
    <t>Hobart CDP, Washington</t>
  </si>
  <si>
    <t>16000US5331530</t>
  </si>
  <si>
    <t>Hockinson CDP, Washington</t>
  </si>
  <si>
    <t>16000US5331540</t>
  </si>
  <si>
    <t>Hogans Corner CDP, Washington</t>
  </si>
  <si>
    <t>16000US5331985</t>
  </si>
  <si>
    <t>Home CDP, Washington</t>
  </si>
  <si>
    <t>16000US5332125</t>
  </si>
  <si>
    <t>Hoodsport CDP, Washington</t>
  </si>
  <si>
    <t>16000US5332300</t>
  </si>
  <si>
    <t>Hoquiam city, Washington</t>
  </si>
  <si>
    <t>16000US5332650</t>
  </si>
  <si>
    <t>Humptulips CDP, Washington</t>
  </si>
  <si>
    <t>16000US5332755</t>
  </si>
  <si>
    <t>Hunts Point town, Washington</t>
  </si>
  <si>
    <t>16000US5333000</t>
  </si>
  <si>
    <t>Ilwaco city, Washington</t>
  </si>
  <si>
    <t>16000US5333105</t>
  </si>
  <si>
    <t>Inchelium CDP, Washington</t>
  </si>
  <si>
    <t>16000US5333175</t>
  </si>
  <si>
    <t>Index town, Washington</t>
  </si>
  <si>
    <t>16000US5333280</t>
  </si>
  <si>
    <t>Indianola CDP, Washington</t>
  </si>
  <si>
    <t>16000US5333560</t>
  </si>
  <si>
    <t>Ione town, Washington</t>
  </si>
  <si>
    <t>16000US5333805</t>
  </si>
  <si>
    <t>Issaquah city, Washington</t>
  </si>
  <si>
    <t>16000US5333890</t>
  </si>
  <si>
    <t>Jamestown CDP, Washington</t>
  </si>
  <si>
    <t>16000US5334575</t>
  </si>
  <si>
    <t>Kahlotus city, Washington</t>
  </si>
  <si>
    <t>16000US5334645</t>
  </si>
  <si>
    <t>Kalama city, Washington</t>
  </si>
  <si>
    <t>16000US5334890</t>
  </si>
  <si>
    <t>Kapowsin CDP, Washington</t>
  </si>
  <si>
    <t>16000US5334915</t>
  </si>
  <si>
    <t>Kayak Point CDP, Washington</t>
  </si>
  <si>
    <t>16000US5334960</t>
  </si>
  <si>
    <t>Keller CDP, Washington</t>
  </si>
  <si>
    <t>16000US5335065</t>
  </si>
  <si>
    <t>Kelso city, Washington</t>
  </si>
  <si>
    <t>16000US5335135</t>
  </si>
  <si>
    <t>Kendall CDP, Washington</t>
  </si>
  <si>
    <t>16000US5335170</t>
  </si>
  <si>
    <t>Kenmore city, Washington</t>
  </si>
  <si>
    <t>16000US5335275</t>
  </si>
  <si>
    <t>Kennewick city, Washington</t>
  </si>
  <si>
    <t>16000US5335415</t>
  </si>
  <si>
    <t>Kent city, Washington</t>
  </si>
  <si>
    <t>16000US5335450</t>
  </si>
  <si>
    <t>Ketron Island CDP, Washington</t>
  </si>
  <si>
    <t>16000US5335485</t>
  </si>
  <si>
    <t>Kettle Falls city, Washington</t>
  </si>
  <si>
    <t>16000US5335555</t>
  </si>
  <si>
    <t>Key Center CDP, Washington</t>
  </si>
  <si>
    <t>16000US5335625</t>
  </si>
  <si>
    <t>Keyport CDP, Washington</t>
  </si>
  <si>
    <t>16000US5335870</t>
  </si>
  <si>
    <t>Kingston CDP, Washington</t>
  </si>
  <si>
    <t>16000US5335940</t>
  </si>
  <si>
    <t>Kirkland city, Washington</t>
  </si>
  <si>
    <t>16000US5336045</t>
  </si>
  <si>
    <t>Kittitas city, Washington</t>
  </si>
  <si>
    <t>16000US5336115</t>
  </si>
  <si>
    <t>Klickitat CDP, Washington</t>
  </si>
  <si>
    <t>16000US5336395</t>
  </si>
  <si>
    <t>16000US5336710</t>
  </si>
  <si>
    <t>La Center city, Washington</t>
  </si>
  <si>
    <t>16000US5336745</t>
  </si>
  <si>
    <t>Lacey city, Washington</t>
  </si>
  <si>
    <t>16000US5336780</t>
  </si>
  <si>
    <t>La Conner town, Washington</t>
  </si>
  <si>
    <t>16000US5336850</t>
  </si>
  <si>
    <t>LaCrosse town, Washington</t>
  </si>
  <si>
    <t>16000US5336920</t>
  </si>
  <si>
    <t>La Grande CDP, Washington</t>
  </si>
  <si>
    <t>16000US5337077</t>
  </si>
  <si>
    <t>Lake Bosworth CDP, Washington</t>
  </si>
  <si>
    <t>16000US5337100</t>
  </si>
  <si>
    <t>Lake Cassidy CDP, Washington</t>
  </si>
  <si>
    <t>16000US5337105</t>
  </si>
  <si>
    <t>Lake Cavanaugh CDP, Washington</t>
  </si>
  <si>
    <t>16000US5337270</t>
  </si>
  <si>
    <t>Lake Forest Park city, Washington</t>
  </si>
  <si>
    <t>16000US5337287</t>
  </si>
  <si>
    <t>Lake Goodwin CDP, Washington</t>
  </si>
  <si>
    <t>16000US5337345</t>
  </si>
  <si>
    <t>Lake Holm CDP, Washington</t>
  </si>
  <si>
    <t>16000US5337415</t>
  </si>
  <si>
    <t>Lake Ketchum CDP, Washington</t>
  </si>
  <si>
    <t>16000US5337420</t>
  </si>
  <si>
    <t>Lakeland North CDP, Washington</t>
  </si>
  <si>
    <t>16000US5337430</t>
  </si>
  <si>
    <t>Lakeland South CDP, Washington</t>
  </si>
  <si>
    <t>16000US5337526</t>
  </si>
  <si>
    <t>Lake McMurray CDP, Washington</t>
  </si>
  <si>
    <t>16000US5337538</t>
  </si>
  <si>
    <t>Lake Marcel-Stillwater CDP, Washington</t>
  </si>
  <si>
    <t>16000US5337567</t>
  </si>
  <si>
    <t>Lake Morton-Berrydale CDP, Washington</t>
  </si>
  <si>
    <t>16000US5337672</t>
  </si>
  <si>
    <t>Lake Roesiger CDP, Washington</t>
  </si>
  <si>
    <t>16000US5337830</t>
  </si>
  <si>
    <t>Lake Shore CDP, Washington</t>
  </si>
  <si>
    <t>16000US5337900</t>
  </si>
  <si>
    <t>Lake Stevens city, Washington</t>
  </si>
  <si>
    <t>16000US5337917</t>
  </si>
  <si>
    <t>Lake Stickney CDP, Washington</t>
  </si>
  <si>
    <t>16000US5337920</t>
  </si>
  <si>
    <t>Lake Tapps CDP, Washington</t>
  </si>
  <si>
    <t>16000US5337926</t>
  </si>
  <si>
    <t>Lakeview CDP, Washington</t>
  </si>
  <si>
    <t>16000US5338038</t>
  </si>
  <si>
    <t>Lakewood city, Washington</t>
  </si>
  <si>
    <t>16000US5338215</t>
  </si>
  <si>
    <t>Lamont town, Washington</t>
  </si>
  <si>
    <t>16000US5338355</t>
  </si>
  <si>
    <t>Langley city, Washington</t>
  </si>
  <si>
    <t>16000US5338420</t>
  </si>
  <si>
    <t>Larch Way CDP, Washington</t>
  </si>
  <si>
    <t>16000US5338495</t>
  </si>
  <si>
    <t>Latah town, Washington</t>
  </si>
  <si>
    <t>16000US5338705</t>
  </si>
  <si>
    <t>Laurier CDP, Washington</t>
  </si>
  <si>
    <t>16000US5338845</t>
  </si>
  <si>
    <t>Leavenworth city, Washington</t>
  </si>
  <si>
    <t>16000US5338880</t>
  </si>
  <si>
    <t>Lebam CDP, Washington</t>
  </si>
  <si>
    <t>16000US5339212</t>
  </si>
  <si>
    <t>Lewisville CDP, Washington</t>
  </si>
  <si>
    <t>16000US5339335</t>
  </si>
  <si>
    <t>Liberty Lake city, Washington</t>
  </si>
  <si>
    <t>16000US5339510</t>
  </si>
  <si>
    <t>Lind town, Washington</t>
  </si>
  <si>
    <t>16000US5339860</t>
  </si>
  <si>
    <t>Lochsloy CDP, Washington</t>
  </si>
  <si>
    <t>16000US5339930</t>
  </si>
  <si>
    <t>Lofall CDP, Washington</t>
  </si>
  <si>
    <t>16000US5340070</t>
  </si>
  <si>
    <t>Long Beach city, Washington</t>
  </si>
  <si>
    <t>16000US5340105</t>
  </si>
  <si>
    <t>Longbranch CDP, Washington</t>
  </si>
  <si>
    <t>16000US5340245</t>
  </si>
  <si>
    <t>Longview city, Washington</t>
  </si>
  <si>
    <t>16000US5340270</t>
  </si>
  <si>
    <t>Longview Heights CDP, Washington</t>
  </si>
  <si>
    <t>16000US5340350</t>
  </si>
  <si>
    <t>Loomis CDP, Washington</t>
  </si>
  <si>
    <t>16000US5340385</t>
  </si>
  <si>
    <t>Loon Lake CDP, Washington</t>
  </si>
  <si>
    <t>16000US5340570</t>
  </si>
  <si>
    <t>Lower Elochoman CDP, Washington</t>
  </si>
  <si>
    <t>16000US5340735</t>
  </si>
  <si>
    <t>Lyle CDP, Washington</t>
  </si>
  <si>
    <t>16000US5340770</t>
  </si>
  <si>
    <t>Lyman town, Washington</t>
  </si>
  <si>
    <t>16000US5340805</t>
  </si>
  <si>
    <t>Lynden city, Washington</t>
  </si>
  <si>
    <t>16000US5340840</t>
  </si>
  <si>
    <t>Lynnwood city, Washington</t>
  </si>
  <si>
    <t>16000US5340980</t>
  </si>
  <si>
    <t>Mabton city, Washington</t>
  </si>
  <si>
    <t>16000US5341155</t>
  </si>
  <si>
    <t>McChord AFB CDP, Washington</t>
  </si>
  <si>
    <t>16000US5341225</t>
  </si>
  <si>
    <t>McCleary city, Washington</t>
  </si>
  <si>
    <t>16000US5341470</t>
  </si>
  <si>
    <t>Machias CDP, Washington</t>
  </si>
  <si>
    <t>16000US5341645</t>
  </si>
  <si>
    <t>McKenna CDP, Washington</t>
  </si>
  <si>
    <t>16000US5341785</t>
  </si>
  <si>
    <t>McMillin CDP, Washington</t>
  </si>
  <si>
    <t>16000US5342275</t>
  </si>
  <si>
    <t>Malden town, Washington</t>
  </si>
  <si>
    <t>16000US5342310</t>
  </si>
  <si>
    <t>Malo CDP, Washington</t>
  </si>
  <si>
    <t>16000US5342345</t>
  </si>
  <si>
    <t>Malone CDP, Washington</t>
  </si>
  <si>
    <t>16000US5342380</t>
  </si>
  <si>
    <t>Malott CDP, Washington</t>
  </si>
  <si>
    <t>16000US5342415</t>
  </si>
  <si>
    <t>Maltby CDP, Washington</t>
  </si>
  <si>
    <t>16000US5342450</t>
  </si>
  <si>
    <t>Manchester CDP, Washington</t>
  </si>
  <si>
    <t>16000US5342800</t>
  </si>
  <si>
    <t>Mansfield town, Washington</t>
  </si>
  <si>
    <t>16000US5342835</t>
  </si>
  <si>
    <t>Manson CDP, Washington</t>
  </si>
  <si>
    <t>16000US5343010</t>
  </si>
  <si>
    <t>Maple Falls CDP, Washington</t>
  </si>
  <si>
    <t>16000US5343062</t>
  </si>
  <si>
    <t>Maple Heights-Lake Desire CDP, Washington</t>
  </si>
  <si>
    <t>16000US5343150</t>
  </si>
  <si>
    <t>Maple Valley city, Washington</t>
  </si>
  <si>
    <t>16000US5343255</t>
  </si>
  <si>
    <t>Maplewood CDP, Washington</t>
  </si>
  <si>
    <t>16000US5343325</t>
  </si>
  <si>
    <t>Marblemount CDP, Washington</t>
  </si>
  <si>
    <t>16000US5343395</t>
  </si>
  <si>
    <t>Marcus town, Washington</t>
  </si>
  <si>
    <t>16000US5343491</t>
  </si>
  <si>
    <t>Marietta-Alderwood CDP, Washington</t>
  </si>
  <si>
    <t>16000US5343640</t>
  </si>
  <si>
    <t>Markham CDP, Washington</t>
  </si>
  <si>
    <t>16000US5343762</t>
  </si>
  <si>
    <t>Marrowstone CDP, Washington</t>
  </si>
  <si>
    <t>16000US5343815</t>
  </si>
  <si>
    <t>Martha Lake CDP, Washington</t>
  </si>
  <si>
    <t>16000US5343885</t>
  </si>
  <si>
    <t>Maryhill CDP, Washington</t>
  </si>
  <si>
    <t>16000US5343955</t>
  </si>
  <si>
    <t>Marysville city, Washington</t>
  </si>
  <si>
    <t>16000US5344165</t>
  </si>
  <si>
    <t>Mattawa city, Washington</t>
  </si>
  <si>
    <t>16000US5344260</t>
  </si>
  <si>
    <t>May Creek CDP, Washington</t>
  </si>
  <si>
    <t>16000US5344480</t>
  </si>
  <si>
    <t>Mead CDP, Washington</t>
  </si>
  <si>
    <t>16000US5344585</t>
  </si>
  <si>
    <t>Meadowdale CDP, Washington</t>
  </si>
  <si>
    <t>16000US5344620</t>
  </si>
  <si>
    <t>Meadow Glade CDP, Washington</t>
  </si>
  <si>
    <t>16000US5344690</t>
  </si>
  <si>
    <t>Medical Lake city, Washington</t>
  </si>
  <si>
    <t>16000US5344725</t>
  </si>
  <si>
    <t>Medina city, Washington</t>
  </si>
  <si>
    <t>16000US5345005</t>
  </si>
  <si>
    <t>Mercer Island city, Washington</t>
  </si>
  <si>
    <t>16000US5345180</t>
  </si>
  <si>
    <t>Mesa city, Washington</t>
  </si>
  <si>
    <t>16000US5345285</t>
  </si>
  <si>
    <t>Metaline town, Washington</t>
  </si>
  <si>
    <t>16000US5345320</t>
  </si>
  <si>
    <t>Metaline Falls town, Washington</t>
  </si>
  <si>
    <t>16000US5345355</t>
  </si>
  <si>
    <t>Methow CDP, Washington</t>
  </si>
  <si>
    <t>16000US5345495</t>
  </si>
  <si>
    <t>Midland CDP, Washington</t>
  </si>
  <si>
    <t>16000US5345865</t>
  </si>
  <si>
    <t>Mill Creek city, Washington</t>
  </si>
  <si>
    <t>16000US5345870</t>
  </si>
  <si>
    <t>Mill Creek East CDP, Washington</t>
  </si>
  <si>
    <t>16000US5345985</t>
  </si>
  <si>
    <t>Millwood city, Washington</t>
  </si>
  <si>
    <t>16000US5346020</t>
  </si>
  <si>
    <t>Milton city, Washington</t>
  </si>
  <si>
    <t>16000US5346090</t>
  </si>
  <si>
    <t>Mineral CDP, Washington</t>
  </si>
  <si>
    <t>16000US5346125</t>
  </si>
  <si>
    <t>Minnehaha CDP, Washington</t>
  </si>
  <si>
    <t>16000US5346215</t>
  </si>
  <si>
    <t>Mirrormont CDP, Washington</t>
  </si>
  <si>
    <t>16000US5346405</t>
  </si>
  <si>
    <t>Moclips CDP, Washington</t>
  </si>
  <si>
    <t>16000US5346685</t>
  </si>
  <si>
    <t>Monroe city, Washington</t>
  </si>
  <si>
    <t>16000US5346725</t>
  </si>
  <si>
    <t>Monroe North CDP, Washington</t>
  </si>
  <si>
    <t>16000US5346895</t>
  </si>
  <si>
    <t>Montesano city, Washington</t>
  </si>
  <si>
    <t>16000US5347175</t>
  </si>
  <si>
    <t>Morton city, Washington</t>
  </si>
  <si>
    <t>16000US5347245</t>
  </si>
  <si>
    <t>Moses Lake city, Washington</t>
  </si>
  <si>
    <t>16000US5347280</t>
  </si>
  <si>
    <t>Moses Lake North CDP, Washington</t>
  </si>
  <si>
    <t>16000US5347315</t>
  </si>
  <si>
    <t>Mossyrock city, Washington</t>
  </si>
  <si>
    <t>16000US5347490</t>
  </si>
  <si>
    <t>Mountlake Terrace city, Washington</t>
  </si>
  <si>
    <t>16000US5347560</t>
  </si>
  <si>
    <t>Mount Vernon city, Washington</t>
  </si>
  <si>
    <t>16000US5347630</t>
  </si>
  <si>
    <t>Mount Vista CDP, Washington</t>
  </si>
  <si>
    <t>16000US5347665</t>
  </si>
  <si>
    <t>Moxee city, Washington</t>
  </si>
  <si>
    <t>16000US5347735</t>
  </si>
  <si>
    <t>Mukilteo city, Washington</t>
  </si>
  <si>
    <t>16000US5347805</t>
  </si>
  <si>
    <t>Naches town, Washington</t>
  </si>
  <si>
    <t>16000US5347980</t>
  </si>
  <si>
    <t>Napavine city, Washington</t>
  </si>
  <si>
    <t>16000US5348015</t>
  </si>
  <si>
    <t>Naselle CDP, Washington</t>
  </si>
  <si>
    <t>16000US5348225</t>
  </si>
  <si>
    <t>Navy Yard City CDP, Washington</t>
  </si>
  <si>
    <t>16000US5348295</t>
  </si>
  <si>
    <t>Neah Bay CDP, Washington</t>
  </si>
  <si>
    <t>16000US5348330</t>
  </si>
  <si>
    <t>Neilton CDP, Washington</t>
  </si>
  <si>
    <t>16000US5348540</t>
  </si>
  <si>
    <t>Nespelem town, Washington</t>
  </si>
  <si>
    <t>16000US5348550</t>
  </si>
  <si>
    <t>Nespelem Community CDP, Washington</t>
  </si>
  <si>
    <t>16000US5348645</t>
  </si>
  <si>
    <t>Newcastle city, Washington</t>
  </si>
  <si>
    <t>16000US5348820</t>
  </si>
  <si>
    <t>Newport city, Washington</t>
  </si>
  <si>
    <t>16000US5349030</t>
  </si>
  <si>
    <t>Nile CDP, Washington</t>
  </si>
  <si>
    <t>16000US5349193</t>
  </si>
  <si>
    <t>Nisqually Indian Community CDP, Washington</t>
  </si>
  <si>
    <t>16000US5349275</t>
  </si>
  <si>
    <t>Nooksack city, Washington</t>
  </si>
  <si>
    <t>16000US5349415</t>
  </si>
  <si>
    <t>Normandy Park city, Washington</t>
  </si>
  <si>
    <t>16000US5349485</t>
  </si>
  <si>
    <t>North Bend city, Washington</t>
  </si>
  <si>
    <t>16000US5349555</t>
  </si>
  <si>
    <t>North Bonneville city, Washington</t>
  </si>
  <si>
    <t>16000US5349765</t>
  </si>
  <si>
    <t>North Fort Lewis CDP, Washington</t>
  </si>
  <si>
    <t>16000US5349940</t>
  </si>
  <si>
    <t>North Lynnwood CDP, Washington</t>
  </si>
  <si>
    <t>16000US5350007</t>
  </si>
  <si>
    <t>North Omak CDP, Washington</t>
  </si>
  <si>
    <t>16000US5350045</t>
  </si>
  <si>
    <t>Northport town, Washington</t>
  </si>
  <si>
    <t>16000US5350115</t>
  </si>
  <si>
    <t>North Puyallup CDP, Washington</t>
  </si>
  <si>
    <t>16000US5350183</t>
  </si>
  <si>
    <t>North Sultan CDP, Washington</t>
  </si>
  <si>
    <t>16000US5350195</t>
  </si>
  <si>
    <t>Northwest Stanwood CDP, Washington</t>
  </si>
  <si>
    <t>16000US5350210</t>
  </si>
  <si>
    <t>North Yelm CDP, Washington</t>
  </si>
  <si>
    <t>16000US5350325</t>
  </si>
  <si>
    <t>Oakesdale town, Washington</t>
  </si>
  <si>
    <t>16000US5350360</t>
  </si>
  <si>
    <t>Oak Harbor city, Washington</t>
  </si>
  <si>
    <t>16000US5350430</t>
  </si>
  <si>
    <t>Oakville city, Washington</t>
  </si>
  <si>
    <t>16000US5350500</t>
  </si>
  <si>
    <t>Ocean City CDP, Washington</t>
  </si>
  <si>
    <t>16000US5350535</t>
  </si>
  <si>
    <t>Ocean Park CDP, Washington</t>
  </si>
  <si>
    <t>16000US5350570</t>
  </si>
  <si>
    <t>Ocean Shores city, Washington</t>
  </si>
  <si>
    <t>16000US5350745</t>
  </si>
  <si>
    <t>Odessa town, Washington</t>
  </si>
  <si>
    <t>16000US5350920</t>
  </si>
  <si>
    <t>Okanogan city, Washington</t>
  </si>
  <si>
    <t>16000US5351300</t>
  </si>
  <si>
    <t>Olympia city, Washington</t>
  </si>
  <si>
    <t>16000US5351340</t>
  </si>
  <si>
    <t>Omak city, Washington</t>
  </si>
  <si>
    <t>16000US5351410</t>
  </si>
  <si>
    <t>Onalaska CDP, Washington</t>
  </si>
  <si>
    <t>16000US5351795</t>
  </si>
  <si>
    <t>Orchards CDP, Washington</t>
  </si>
  <si>
    <t>16000US5351830</t>
  </si>
  <si>
    <t>Orient CDP, Washington</t>
  </si>
  <si>
    <t>16000US5351970</t>
  </si>
  <si>
    <t>Oroville city, Washington</t>
  </si>
  <si>
    <t>16000US5352005</t>
  </si>
  <si>
    <t>Orting city, Washington</t>
  </si>
  <si>
    <t>16000US5352110</t>
  </si>
  <si>
    <t>Oso CDP, Washington</t>
  </si>
  <si>
    <t>16000US5352215</t>
  </si>
  <si>
    <t>Othello city, Washington</t>
  </si>
  <si>
    <t>16000US5352267</t>
  </si>
  <si>
    <t>Otis Orchards-East Farms CDP, Washington</t>
  </si>
  <si>
    <t>16000US5352285</t>
  </si>
  <si>
    <t>Outlook CDP, Washington</t>
  </si>
  <si>
    <t>16000US5352378</t>
  </si>
  <si>
    <t>Oyehut CDP, Washington</t>
  </si>
  <si>
    <t>16000US5352495</t>
  </si>
  <si>
    <t>Pacific city, Washington</t>
  </si>
  <si>
    <t>16000US5352530</t>
  </si>
  <si>
    <t>Pacific Beach CDP, Washington</t>
  </si>
  <si>
    <t>16000US5352600</t>
  </si>
  <si>
    <t>Packwood CDP, Washington</t>
  </si>
  <si>
    <t>16000US5352950</t>
  </si>
  <si>
    <t>Palouse city, Washington</t>
  </si>
  <si>
    <t>16000US5353265</t>
  </si>
  <si>
    <t>Parker CDP, Washington</t>
  </si>
  <si>
    <t>16000US5353335</t>
  </si>
  <si>
    <t>Parkland CDP, Washington</t>
  </si>
  <si>
    <t>16000US5353440</t>
  </si>
  <si>
    <t>Parkwood CDP, Washington</t>
  </si>
  <si>
    <t>16000US5353545</t>
  </si>
  <si>
    <t>Pasco city, Washington</t>
  </si>
  <si>
    <t>16000US5353720</t>
  </si>
  <si>
    <t>Pateros city, Washington</t>
  </si>
  <si>
    <t>16000US5353800</t>
  </si>
  <si>
    <t>Peaceful Valley CDP, Washington</t>
  </si>
  <si>
    <t>16000US5353930</t>
  </si>
  <si>
    <t>Pe Ell town, Washington</t>
  </si>
  <si>
    <t>16000US5354213</t>
  </si>
  <si>
    <t>Picnic Point CDP, Washington</t>
  </si>
  <si>
    <t>16000US5354405</t>
  </si>
  <si>
    <t>Pine Grove CDP, Washington</t>
  </si>
  <si>
    <t>16000US5355015</t>
  </si>
  <si>
    <t>Point Roberts CDP, Washington</t>
  </si>
  <si>
    <t>16000US5355120</t>
  </si>
  <si>
    <t>Pomeroy city, Washington</t>
  </si>
  <si>
    <t>16000US5355365</t>
  </si>
  <si>
    <t>Port Angeles city, Washington</t>
  </si>
  <si>
    <t>16000US5355400</t>
  </si>
  <si>
    <t>Port Angeles East CDP, Washington</t>
  </si>
  <si>
    <t>16000US5355540</t>
  </si>
  <si>
    <t>Porter CDP, Washington</t>
  </si>
  <si>
    <t>16000US5355612</t>
  </si>
  <si>
    <t>Port Gamble Tribal Community CDP, Washington</t>
  </si>
  <si>
    <t>16000US5355620</t>
  </si>
  <si>
    <t>Port Hadlock-Irondale CDP, Washington</t>
  </si>
  <si>
    <t>16000US5355645</t>
  </si>
  <si>
    <t>Port Ludlow CDP, Washington</t>
  </si>
  <si>
    <t>16000US5355785</t>
  </si>
  <si>
    <t>Port Orchard city, Washington</t>
  </si>
  <si>
    <t>16000US5355855</t>
  </si>
  <si>
    <t>Port Townsend city, Washington</t>
  </si>
  <si>
    <t>16000US5355995</t>
  </si>
  <si>
    <t>Poulsbo city, Washington</t>
  </si>
  <si>
    <t>16000US5356150</t>
  </si>
  <si>
    <t>Prairie Heights CDP, Washington</t>
  </si>
  <si>
    <t>16000US5356170</t>
  </si>
  <si>
    <t>Prairie Ridge CDP, Washington</t>
  </si>
  <si>
    <t>16000US5356240</t>
  </si>
  <si>
    <t>Prescott city, Washington</t>
  </si>
  <si>
    <t>16000US5356450</t>
  </si>
  <si>
    <t>Prosser city, Washington</t>
  </si>
  <si>
    <t>16000US5356555</t>
  </si>
  <si>
    <t>Puget Island CDP, Washington</t>
  </si>
  <si>
    <t>16000US5356625</t>
  </si>
  <si>
    <t>Pullman city, Washington</t>
  </si>
  <si>
    <t>16000US5356660</t>
  </si>
  <si>
    <t>Purdy CDP, Washington</t>
  </si>
  <si>
    <t>16000US5356695</t>
  </si>
  <si>
    <t>Puyallup city, Washington</t>
  </si>
  <si>
    <t>16000US5356905</t>
  </si>
  <si>
    <t>Queets CDP, Washington</t>
  </si>
  <si>
    <t>16000US5356975</t>
  </si>
  <si>
    <t>Quilcene CDP, Washington</t>
  </si>
  <si>
    <t>16000US5357030</t>
  </si>
  <si>
    <t>Qui-nai-elt Village CDP, Washington</t>
  </si>
  <si>
    <t>16000US5357115</t>
  </si>
  <si>
    <t>Quincy city, Washington</t>
  </si>
  <si>
    <t>16000US5357140</t>
  </si>
  <si>
    <t>Raft Island CDP, Washington</t>
  </si>
  <si>
    <t>16000US5357220</t>
  </si>
  <si>
    <t>Rainier city, Washington</t>
  </si>
  <si>
    <t>16000US5357395</t>
  </si>
  <si>
    <t>Ravensdale CDP, Washington</t>
  </si>
  <si>
    <t>16000US5357430</t>
  </si>
  <si>
    <t>Raymond city, Washington</t>
  </si>
  <si>
    <t>16000US5357465</t>
  </si>
  <si>
    <t>Reardan town, Washington</t>
  </si>
  <si>
    <t>16000US5357535</t>
  </si>
  <si>
    <t>Redmond city, Washington</t>
  </si>
  <si>
    <t>16000US5357745</t>
  </si>
  <si>
    <t>Renton city, Washington</t>
  </si>
  <si>
    <t>16000US5357850</t>
  </si>
  <si>
    <t>Republic city, Washington</t>
  </si>
  <si>
    <t>16000US5358235</t>
  </si>
  <si>
    <t>Richland city, Washington</t>
  </si>
  <si>
    <t>16000US5358410</t>
  </si>
  <si>
    <t>Ridgefield city, Washington</t>
  </si>
  <si>
    <t>16000US5358725</t>
  </si>
  <si>
    <t>Ritzville city, Washington</t>
  </si>
  <si>
    <t>16000US5358742</t>
  </si>
  <si>
    <t>Riverbend CDP, Washington</t>
  </si>
  <si>
    <t>16000US5358777</t>
  </si>
  <si>
    <t>River Road CDP, Washington</t>
  </si>
  <si>
    <t>16000US5358795</t>
  </si>
  <si>
    <t>Riverside town, Washington</t>
  </si>
  <si>
    <t>16000US5359110</t>
  </si>
  <si>
    <t>Rochester CDP, Washington</t>
  </si>
  <si>
    <t>16000US5359145</t>
  </si>
  <si>
    <t>Rockford town, Washington</t>
  </si>
  <si>
    <t>16000US5359180</t>
  </si>
  <si>
    <t>Rock Island city, Washington</t>
  </si>
  <si>
    <t>16000US5359250</t>
  </si>
  <si>
    <t>Rockport CDP, Washington</t>
  </si>
  <si>
    <t>16000US5359390</t>
  </si>
  <si>
    <t>Rocky Point CDP, Washington</t>
  </si>
  <si>
    <t>16000US5359635</t>
  </si>
  <si>
    <t>Ronald CDP, Washington</t>
  </si>
  <si>
    <t>16000US5359705</t>
  </si>
  <si>
    <t>Roosevelt CDP, Washington</t>
  </si>
  <si>
    <t>16000US5359775</t>
  </si>
  <si>
    <t>Rosalia town, Washington</t>
  </si>
  <si>
    <t>16000US5359845</t>
  </si>
  <si>
    <t>Rosburg CDP, Washington</t>
  </si>
  <si>
    <t>16000US5359880</t>
  </si>
  <si>
    <t>Rosedale CDP, Washington</t>
  </si>
  <si>
    <t>16000US5360055</t>
  </si>
  <si>
    <t>Roslyn city, Washington</t>
  </si>
  <si>
    <t>16000US5360160</t>
  </si>
  <si>
    <t>Roy city, Washington</t>
  </si>
  <si>
    <t>16000US5360230</t>
  </si>
  <si>
    <t>Royal City city, Washington</t>
  </si>
  <si>
    <t>16000US5360510</t>
  </si>
  <si>
    <t>Ruston town, Washington</t>
  </si>
  <si>
    <t>16000US5360580</t>
  </si>
  <si>
    <t>Ryderwood CDP, Washington</t>
  </si>
  <si>
    <t>16000US5360860</t>
  </si>
  <si>
    <t>St. John town, Washington</t>
  </si>
  <si>
    <t>16000US5361000</t>
  </si>
  <si>
    <t>Salmon Creek CDP, Washington</t>
  </si>
  <si>
    <t>16000US5361115</t>
  </si>
  <si>
    <t>Sammamish city, Washington</t>
  </si>
  <si>
    <t>16000US5361235</t>
  </si>
  <si>
    <t>Santiago CDP, Washington</t>
  </si>
  <si>
    <t>16000US5361350</t>
  </si>
  <si>
    <t>Satsop CDP, Washington</t>
  </si>
  <si>
    <t>16000US5362120</t>
  </si>
  <si>
    <t>Seabeck CDP, Washington</t>
  </si>
  <si>
    <t>16000US5362288</t>
  </si>
  <si>
    <t>SeaTac city, Washington</t>
  </si>
  <si>
    <t>16000US5363000</t>
  </si>
  <si>
    <t>Seattle city, Washington</t>
  </si>
  <si>
    <t>16000US5363210</t>
  </si>
  <si>
    <t>Sedro-Woolley city, Washington</t>
  </si>
  <si>
    <t>16000US5363245</t>
  </si>
  <si>
    <t>Sekiu CDP, Washington</t>
  </si>
  <si>
    <t>16000US5363280</t>
  </si>
  <si>
    <t>Selah city, Washington</t>
  </si>
  <si>
    <t>16000US5363385</t>
  </si>
  <si>
    <t>Sequim city, Washington</t>
  </si>
  <si>
    <t>16000US5363545</t>
  </si>
  <si>
    <t>Shadow Lake CDP, Washington</t>
  </si>
  <si>
    <t>16000US5363735</t>
  </si>
  <si>
    <t>Shelton city, Washington</t>
  </si>
  <si>
    <t>16000US5363960</t>
  </si>
  <si>
    <t>Shoreline city, Washington</t>
  </si>
  <si>
    <t>16000US5364190</t>
  </si>
  <si>
    <t>Silvana CDP, Washington</t>
  </si>
  <si>
    <t>16000US5364365</t>
  </si>
  <si>
    <t>Silverdale CDP, Washington</t>
  </si>
  <si>
    <t>16000US5364380</t>
  </si>
  <si>
    <t>Silver Firs CDP, Washington</t>
  </si>
  <si>
    <t>16000US5364610</t>
  </si>
  <si>
    <t>Sisco Heights CDP, Washington</t>
  </si>
  <si>
    <t>16000US5364755</t>
  </si>
  <si>
    <t>Skamokawa Valley CDP, Washington</t>
  </si>
  <si>
    <t>16000US5364775</t>
  </si>
  <si>
    <t>Skokomish CDP, Washington</t>
  </si>
  <si>
    <t>16000US5364855</t>
  </si>
  <si>
    <t>Skykomish town, Washington</t>
  </si>
  <si>
    <t>16000US5365170</t>
  </si>
  <si>
    <t>Snohomish city, Washington</t>
  </si>
  <si>
    <t>16000US5365205</t>
  </si>
  <si>
    <t>Snoqualmie city, Washington</t>
  </si>
  <si>
    <t>16000US5365275</t>
  </si>
  <si>
    <t>Snoqualmie Pass CDP, Washington</t>
  </si>
  <si>
    <t>16000US5365345</t>
  </si>
  <si>
    <t>Soap Lake city, Washington</t>
  </si>
  <si>
    <t>16000US5365625</t>
  </si>
  <si>
    <t>South Bend city, Washington</t>
  </si>
  <si>
    <t>16000US5365765</t>
  </si>
  <si>
    <t>South Cle Elum town, Washington</t>
  </si>
  <si>
    <t>16000US5365810</t>
  </si>
  <si>
    <t>South Creek CDP, Washington</t>
  </si>
  <si>
    <t>16000US5365922</t>
  </si>
  <si>
    <t>South Hill CDP, Washington</t>
  </si>
  <si>
    <t>16000US5366045</t>
  </si>
  <si>
    <t>South Prairie town, Washington</t>
  </si>
  <si>
    <t>16000US5366185</t>
  </si>
  <si>
    <t>South Wenatchee CDP, Washington</t>
  </si>
  <si>
    <t>16000US5366220</t>
  </si>
  <si>
    <t>Southworth CDP, Washington</t>
  </si>
  <si>
    <t>16000US5366255</t>
  </si>
  <si>
    <t>Spanaway CDP, Washington</t>
  </si>
  <si>
    <t>16000US5366290</t>
  </si>
  <si>
    <t>Spangle city, Washington</t>
  </si>
  <si>
    <t>16000US5367000</t>
  </si>
  <si>
    <t>Spokane city, Washington</t>
  </si>
  <si>
    <t>16000US5367167</t>
  </si>
  <si>
    <t>Spokane Valley city, Washington</t>
  </si>
  <si>
    <t>16000US5367175</t>
  </si>
  <si>
    <t>Sprague city, Washington</t>
  </si>
  <si>
    <t>16000US5367210</t>
  </si>
  <si>
    <t>Springdale town, Washington</t>
  </si>
  <si>
    <t>16000US5367435</t>
  </si>
  <si>
    <t>Stansberry Lake CDP, Washington</t>
  </si>
  <si>
    <t>16000US5367455</t>
  </si>
  <si>
    <t>Stanwood city, Washington</t>
  </si>
  <si>
    <t>16000US5367490</t>
  </si>
  <si>
    <t>Starbuck town, Washington</t>
  </si>
  <si>
    <t>16000US5367595</t>
  </si>
  <si>
    <t>Startup CDP, Washington</t>
  </si>
  <si>
    <t>16000US5367770</t>
  </si>
  <si>
    <t>Steilacoom town, Washington</t>
  </si>
  <si>
    <t>16000US5367805</t>
  </si>
  <si>
    <t>Steptoe CDP, Washington</t>
  </si>
  <si>
    <t>16000US5367875</t>
  </si>
  <si>
    <t>Stevenson city, Washington</t>
  </si>
  <si>
    <t>16000US5368200</t>
  </si>
  <si>
    <t>Sudden Valley CDP, Washington</t>
  </si>
  <si>
    <t>16000US5368260</t>
  </si>
  <si>
    <t>Sultan city, Washington</t>
  </si>
  <si>
    <t>16000US5368330</t>
  </si>
  <si>
    <t>Sumas city, Washington</t>
  </si>
  <si>
    <t>16000US5368365</t>
  </si>
  <si>
    <t>Summit CDP, Washington</t>
  </si>
  <si>
    <t>16000US5368410</t>
  </si>
  <si>
    <t>Summit View CDP, Washington</t>
  </si>
  <si>
    <t>16000US5368417</t>
  </si>
  <si>
    <t>Summitview CDP, Washington</t>
  </si>
  <si>
    <t>16000US5368435</t>
  </si>
  <si>
    <t>Sumner city, Washington</t>
  </si>
  <si>
    <t>16000US5368480</t>
  </si>
  <si>
    <t>Sunday Lake CDP, Washington</t>
  </si>
  <si>
    <t>16000US5368750</t>
  </si>
  <si>
    <t>Sunnyside city, Washington</t>
  </si>
  <si>
    <t>16000US5368785</t>
  </si>
  <si>
    <t>Sunnyslope CDP, Washington</t>
  </si>
  <si>
    <t>16000US5369170</t>
  </si>
  <si>
    <t>Suquamish CDP, Washington</t>
  </si>
  <si>
    <t>16000US5369280</t>
  </si>
  <si>
    <t>Swede Heaven CDP, Washington</t>
  </si>
  <si>
    <t>16000US5370000</t>
  </si>
  <si>
    <t>Tacoma city, Washington</t>
  </si>
  <si>
    <t>16000US5370175</t>
  </si>
  <si>
    <t>Taholah CDP, Washington</t>
  </si>
  <si>
    <t>16000US5370245</t>
  </si>
  <si>
    <t>Tampico CDP, Washington</t>
  </si>
  <si>
    <t>16000US5370280</t>
  </si>
  <si>
    <t>Tanglewilde CDP, Washington</t>
  </si>
  <si>
    <t>16000US5370560</t>
  </si>
  <si>
    <t>Tekoa city, Washington</t>
  </si>
  <si>
    <t>16000US5370630</t>
  </si>
  <si>
    <t>Tenino city, Washington</t>
  </si>
  <si>
    <t>16000US5370805</t>
  </si>
  <si>
    <t>Terrace Heights CDP, Washington</t>
  </si>
  <si>
    <t>16000US5371225</t>
  </si>
  <si>
    <t>Thorp CDP, Washington</t>
  </si>
  <si>
    <t>16000US5371330</t>
  </si>
  <si>
    <t>Three Lakes CDP, Washington</t>
  </si>
  <si>
    <t>16000US5371400</t>
  </si>
  <si>
    <t>Tieton city, Washington</t>
  </si>
  <si>
    <t>16000US5371680</t>
  </si>
  <si>
    <t>Tokeland CDP, Washington</t>
  </si>
  <si>
    <t>16000US5371785</t>
  </si>
  <si>
    <t>Toledo city, Washington</t>
  </si>
  <si>
    <t>16000US5371890</t>
  </si>
  <si>
    <t>Tonasket city, Washington</t>
  </si>
  <si>
    <t>16000US5371960</t>
  </si>
  <si>
    <t>Toppenish city, Washington</t>
  </si>
  <si>
    <t>16000US5371995</t>
  </si>
  <si>
    <t>Torboy CDP, Washington</t>
  </si>
  <si>
    <t>16000US5372030</t>
  </si>
  <si>
    <t>Touchet CDP, Washington</t>
  </si>
  <si>
    <t>16000US5372170</t>
  </si>
  <si>
    <t>Town and Country CDP, Washington</t>
  </si>
  <si>
    <t>16000US5372205</t>
  </si>
  <si>
    <t>Tracyton CDP, Washington</t>
  </si>
  <si>
    <t>16000US5372450</t>
  </si>
  <si>
    <t>Trout Lake CDP, Washington</t>
  </si>
  <si>
    <t>16000US5372625</t>
  </si>
  <si>
    <t>Tukwila city, Washington</t>
  </si>
  <si>
    <t>16000US5372905</t>
  </si>
  <si>
    <t>Tumwater city, Washington</t>
  </si>
  <si>
    <t>16000US5373065</t>
  </si>
  <si>
    <t>Twin Lakes CDP, Washington</t>
  </si>
  <si>
    <t>16000US5373080</t>
  </si>
  <si>
    <t>Twisp town, Washington</t>
  </si>
  <si>
    <t>16000US5373255</t>
  </si>
  <si>
    <t>Union CDP, Washington</t>
  </si>
  <si>
    <t>16000US5373290</t>
  </si>
  <si>
    <t>Union Gap city, Washington</t>
  </si>
  <si>
    <t>16000US5373307</t>
  </si>
  <si>
    <t>Union Hill-Novelty Hill CDP, Washington</t>
  </si>
  <si>
    <t>16000US5373360</t>
  </si>
  <si>
    <t>Uniontown town, Washington</t>
  </si>
  <si>
    <t>16000US5373465</t>
  </si>
  <si>
    <t>University Place city, Washington</t>
  </si>
  <si>
    <t>16000US5373580</t>
  </si>
  <si>
    <t>Upper Elochoman CDP, Washington</t>
  </si>
  <si>
    <t>16000US5373780</t>
  </si>
  <si>
    <t>Vader city, Washington</t>
  </si>
  <si>
    <t>16000US5373885</t>
  </si>
  <si>
    <t>Valley CDP, Washington</t>
  </si>
  <si>
    <t>16000US5374060</t>
  </si>
  <si>
    <t>Vancouver city, Washington</t>
  </si>
  <si>
    <t>16000US5374200</t>
  </si>
  <si>
    <t>Vantage CDP, Washington</t>
  </si>
  <si>
    <t>16000US5374305</t>
  </si>
  <si>
    <t>Vashon CDP, Washington</t>
  </si>
  <si>
    <t>16000US5374445</t>
  </si>
  <si>
    <t>Vaughn CDP, Washington</t>
  </si>
  <si>
    <t>16000US5374585</t>
  </si>
  <si>
    <t>Venersborg CDP, Washington</t>
  </si>
  <si>
    <t>16000US5374760</t>
  </si>
  <si>
    <t>Verlot CDP, Washington</t>
  </si>
  <si>
    <t>16000US5375565</t>
  </si>
  <si>
    <t>Waitsburg city, Washington</t>
  </si>
  <si>
    <t>16000US5375775</t>
  </si>
  <si>
    <t>Walla Walla city, Washington</t>
  </si>
  <si>
    <t>16000US5375810</t>
  </si>
  <si>
    <t>Walla Walla East CDP, Washington</t>
  </si>
  <si>
    <t>16000US5375905</t>
  </si>
  <si>
    <t>Waller CDP, Washington</t>
  </si>
  <si>
    <t>16000US5375985</t>
  </si>
  <si>
    <t>Wallula CDP, Washington</t>
  </si>
  <si>
    <t>16000US5376125</t>
  </si>
  <si>
    <t>Wapato city, Washington</t>
  </si>
  <si>
    <t>16000US5376160</t>
  </si>
  <si>
    <t>Warden city, Washington</t>
  </si>
  <si>
    <t>16000US5376195</t>
  </si>
  <si>
    <t>Warm Beach CDP, Washington</t>
  </si>
  <si>
    <t>16000US5376405</t>
  </si>
  <si>
    <t>Washougal city, Washington</t>
  </si>
  <si>
    <t>16000US5376440</t>
  </si>
  <si>
    <t>Washtucna town, Washington</t>
  </si>
  <si>
    <t>16000US5376510</t>
  </si>
  <si>
    <t>Waterville town, Washington</t>
  </si>
  <si>
    <t>16000US5376615</t>
  </si>
  <si>
    <t>Wauna CDP, Washington</t>
  </si>
  <si>
    <t>16000US5376720</t>
  </si>
  <si>
    <t>Waverly town, Washington</t>
  </si>
  <si>
    <t>16000US5377105</t>
  </si>
  <si>
    <t>Wenatchee city, Washington</t>
  </si>
  <si>
    <t>16000US5377297</t>
  </si>
  <si>
    <t>West Clarkston-Highland CDP, Washington</t>
  </si>
  <si>
    <t>16000US5377612</t>
  </si>
  <si>
    <t>West Pasco CDP, Washington</t>
  </si>
  <si>
    <t>16000US5377630</t>
  </si>
  <si>
    <t>Westport city, Washington</t>
  </si>
  <si>
    <t>16000US5377665</t>
  </si>
  <si>
    <t>West Richland city, Washington</t>
  </si>
  <si>
    <t>16000US5378155</t>
  </si>
  <si>
    <t>Whidbey Island Station CDP, Washington</t>
  </si>
  <si>
    <t>16000US5378225</t>
  </si>
  <si>
    <t>White Center CDP, Washington</t>
  </si>
  <si>
    <t>16000US5378330</t>
  </si>
  <si>
    <t>White Salmon city, Washington</t>
  </si>
  <si>
    <t>16000US5378365</t>
  </si>
  <si>
    <t>White Swan CDP, Washington</t>
  </si>
  <si>
    <t>16000US5378680</t>
  </si>
  <si>
    <t>Wilbur town, Washington</t>
  </si>
  <si>
    <t>16000US5378780</t>
  </si>
  <si>
    <t>Wilderness Rim CDP, Washington</t>
  </si>
  <si>
    <t>16000US5378925</t>
  </si>
  <si>
    <t>Wilkeson town, Washington</t>
  </si>
  <si>
    <t>16000US5378995</t>
  </si>
  <si>
    <t>Willapa CDP, Washington</t>
  </si>
  <si>
    <t>16000US5379135</t>
  </si>
  <si>
    <t>Wilson Creek town, Washington</t>
  </si>
  <si>
    <t>16000US5379275</t>
  </si>
  <si>
    <t>Winlock city, Washington</t>
  </si>
  <si>
    <t>16000US5379380</t>
  </si>
  <si>
    <t>Winthrop town, Washington</t>
  </si>
  <si>
    <t>16000US5379485</t>
  </si>
  <si>
    <t>Wishram CDP, Washington</t>
  </si>
  <si>
    <t>16000US5379555</t>
  </si>
  <si>
    <t>Wollochet CDP, Washington</t>
  </si>
  <si>
    <t>16000US5379590</t>
  </si>
  <si>
    <t>Woodinville city, Washington</t>
  </si>
  <si>
    <t>16000US5379625</t>
  </si>
  <si>
    <t>Woodland city, Washington</t>
  </si>
  <si>
    <t>16000US5379825</t>
  </si>
  <si>
    <t>Woods Creek CDP, Washington</t>
  </si>
  <si>
    <t>16000US5379835</t>
  </si>
  <si>
    <t>Woodway city, Washington</t>
  </si>
  <si>
    <t>16000US5379975</t>
  </si>
  <si>
    <t>Yacolt town, Washington</t>
  </si>
  <si>
    <t>16000US5380010</t>
  </si>
  <si>
    <t>Yakima city, Washington</t>
  </si>
  <si>
    <t>16000US5380150</t>
  </si>
  <si>
    <t>Yarrow Point town, Washington</t>
  </si>
  <si>
    <t>16000US5380220</t>
  </si>
  <si>
    <t>Yelm city, Washington</t>
  </si>
  <si>
    <t>16000US5380500</t>
  </si>
  <si>
    <t>Zillah city, Washington</t>
  </si>
  <si>
    <t>Washington</t>
  </si>
  <si>
    <t>T15C_est3</t>
  </si>
  <si>
    <t>T15C_est4</t>
  </si>
  <si>
    <t>T15C_est25</t>
  </si>
  <si>
    <t>T15C_est46</t>
  </si>
  <si>
    <t>T15C_est67</t>
  </si>
  <si>
    <t>One unit in structure</t>
  </si>
  <si>
    <t>Rent less than or equal to RHUD30</t>
  </si>
  <si>
    <t>Rent greater than RHUD30 and less than or equal to RHUD50</t>
  </si>
  <si>
    <t>Rent greater than RHUD50 and less than or equal to RHUD80</t>
  </si>
  <si>
    <t>Rent greater than RHUD80</t>
  </si>
  <si>
    <t>2 to 4 units in structure</t>
  </si>
  <si>
    <t>5 or more units in structure</t>
  </si>
  <si>
    <t>Rental Affordability</t>
  </si>
  <si>
    <t>Vacant</t>
  </si>
  <si>
    <t>Total Occupied</t>
  </si>
  <si>
    <t>Over / Under</t>
  </si>
  <si>
    <t>&lt;30% AMI</t>
  </si>
  <si>
    <t>30-50% AMI</t>
  </si>
  <si>
    <t>50-80% AMI</t>
  </si>
  <si>
    <t>&gt;80% AMI</t>
  </si>
  <si>
    <t>1600000US5300100</t>
  </si>
  <si>
    <t>1600000US5300135</t>
  </si>
  <si>
    <t>1600000US5300275</t>
  </si>
  <si>
    <t>1600000US5300380</t>
  </si>
  <si>
    <t>1600000US5300800</t>
  </si>
  <si>
    <t>1600000US5300905</t>
  </si>
  <si>
    <t>1600000US5301010</t>
  </si>
  <si>
    <t>1600000US5301045</t>
  </si>
  <si>
    <t>1600000US5301150</t>
  </si>
  <si>
    <t>1600000US5301185</t>
  </si>
  <si>
    <t>1600000US5301255</t>
  </si>
  <si>
    <t>1600000US5301290</t>
  </si>
  <si>
    <t>1600000US5301430</t>
  </si>
  <si>
    <t>1600000US5301500</t>
  </si>
  <si>
    <t>1600000US5301745</t>
  </si>
  <si>
    <t>1600000US5301780</t>
  </si>
  <si>
    <t>1600000US5301850</t>
  </si>
  <si>
    <t>1600000US5301920</t>
  </si>
  <si>
    <t>1600000US5301990</t>
  </si>
  <si>
    <t>1600000US5302060</t>
  </si>
  <si>
    <t>1600000US5302585</t>
  </si>
  <si>
    <t>1600000US5302620</t>
  </si>
  <si>
    <t>1600000US5302910</t>
  </si>
  <si>
    <t>1600000US5303005</t>
  </si>
  <si>
    <t>1600000US5303075</t>
  </si>
  <si>
    <t>1600000US5303180</t>
  </si>
  <si>
    <t>1600000US5303736</t>
  </si>
  <si>
    <t>1600000US5304100</t>
  </si>
  <si>
    <t>1600000US5304125</t>
  </si>
  <si>
    <t>1600000US5304195</t>
  </si>
  <si>
    <t>1600000US5304300</t>
  </si>
  <si>
    <t>1600000US5304347</t>
  </si>
  <si>
    <t>1600000US5304370</t>
  </si>
  <si>
    <t>1600000US5304405</t>
  </si>
  <si>
    <t>1600000US5304475</t>
  </si>
  <si>
    <t>1600000US5304615</t>
  </si>
  <si>
    <t>1600000US5304790</t>
  </si>
  <si>
    <t>1600000US5304895</t>
  </si>
  <si>
    <t>1600000US5305140</t>
  </si>
  <si>
    <t>1600000US5305210</t>
  </si>
  <si>
    <t>1600000US5305245</t>
  </si>
  <si>
    <t>1600000US5305280</t>
  </si>
  <si>
    <t>1600000US5305560</t>
  </si>
  <si>
    <t>1600000US5305735</t>
  </si>
  <si>
    <t>1600000US5305980</t>
  </si>
  <si>
    <t>1600000US5306050</t>
  </si>
  <si>
    <t>1600000US5306085</t>
  </si>
  <si>
    <t>1600000US5306190</t>
  </si>
  <si>
    <t>1600000US5306330</t>
  </si>
  <si>
    <t>1600000US5306505</t>
  </si>
  <si>
    <t>1600000US5306855</t>
  </si>
  <si>
    <t>1600000US5307170</t>
  </si>
  <si>
    <t>1600000US5307380</t>
  </si>
  <si>
    <t>1600000US5307390</t>
  </si>
  <si>
    <t>1600000US5307395</t>
  </si>
  <si>
    <t>1600000US5307397</t>
  </si>
  <si>
    <t>1600000US5307485</t>
  </si>
  <si>
    <t>1600000US5307590</t>
  </si>
  <si>
    <t>1600000US5307695</t>
  </si>
  <si>
    <t>1600000US5307835</t>
  </si>
  <si>
    <t>1600000US5307870</t>
  </si>
  <si>
    <t>1600000US5307940</t>
  </si>
  <si>
    <t>1600000US5308080</t>
  </si>
  <si>
    <t>1600000US5308325</t>
  </si>
  <si>
    <t>1600000US5308465</t>
  </si>
  <si>
    <t>1600000US5308500</t>
  </si>
  <si>
    <t>1600000US5308552</t>
  </si>
  <si>
    <t>1600000US5308570</t>
  </si>
  <si>
    <t>1600000US5308605</t>
  </si>
  <si>
    <t>1600000US5308640</t>
  </si>
  <si>
    <t>1600000US5308770</t>
  </si>
  <si>
    <t>1600000US5308780</t>
  </si>
  <si>
    <t>1600000US5308850</t>
  </si>
  <si>
    <t>1600000US5308885</t>
  </si>
  <si>
    <t>1600000US5308920</t>
  </si>
  <si>
    <t>1600000US5309365</t>
  </si>
  <si>
    <t>1600000US5309480</t>
  </si>
  <si>
    <t>1600000US5309810</t>
  </si>
  <si>
    <t>1600000US5309820</t>
  </si>
  <si>
    <t>1600000US5309970</t>
  </si>
  <si>
    <t>1600000US5310075</t>
  </si>
  <si>
    <t>1600000US5310215</t>
  </si>
  <si>
    <t>1600000US5310320</t>
  </si>
  <si>
    <t>1600000US5310455</t>
  </si>
  <si>
    <t>1600000US5310495</t>
  </si>
  <si>
    <t>1600000US5310565</t>
  </si>
  <si>
    <t>1600000US5310600</t>
  </si>
  <si>
    <t>1600000US5310635</t>
  </si>
  <si>
    <t>1600000US5310645</t>
  </si>
  <si>
    <t>1600000US5311090</t>
  </si>
  <si>
    <t>1600000US5311160</t>
  </si>
  <si>
    <t>1600000US5311195</t>
  </si>
  <si>
    <t>1600000US5311325</t>
  </si>
  <si>
    <t>1600000US5311475</t>
  </si>
  <si>
    <t>1600000US5311615</t>
  </si>
  <si>
    <t>1600000US5311685</t>
  </si>
  <si>
    <t>1600000US5311825</t>
  </si>
  <si>
    <t>1600000US5312015</t>
  </si>
  <si>
    <t>1600000US5312140</t>
  </si>
  <si>
    <t>1600000US5312175</t>
  </si>
  <si>
    <t>1600000US5312315</t>
  </si>
  <si>
    <t>1600000US5312525</t>
  </si>
  <si>
    <t>1600000US5312630</t>
  </si>
  <si>
    <t>1600000US5312680</t>
  </si>
  <si>
    <t>1600000US5312735</t>
  </si>
  <si>
    <t>1600000US5312820</t>
  </si>
  <si>
    <t>1600000US5312840</t>
  </si>
  <si>
    <t>1600000US5312875</t>
  </si>
  <si>
    <t>1600000US5312945</t>
  </si>
  <si>
    <t>1600000US5313015</t>
  </si>
  <si>
    <t>1600000US5313155</t>
  </si>
  <si>
    <t>1600000US5313215</t>
  </si>
  <si>
    <t>1600000US5313365</t>
  </si>
  <si>
    <t>1600000US5313595</t>
  </si>
  <si>
    <t>1600000US5313785</t>
  </si>
  <si>
    <t>1600000US5313855</t>
  </si>
  <si>
    <t>1600000US5313890</t>
  </si>
  <si>
    <t>1600000US5314170</t>
  </si>
  <si>
    <t>1600000US5314310</t>
  </si>
  <si>
    <t>1600000US5314380</t>
  </si>
  <si>
    <t>1600000US5314485</t>
  </si>
  <si>
    <t>1600000US5314520</t>
  </si>
  <si>
    <t>1600000US5314660</t>
  </si>
  <si>
    <t>1600000US5314870</t>
  </si>
  <si>
    <t>1600000US5314940</t>
  </si>
  <si>
    <t>1600000US5315080</t>
  </si>
  <si>
    <t>1600000US5315115</t>
  </si>
  <si>
    <t>1600000US5315150</t>
  </si>
  <si>
    <t>1600000US5315185</t>
  </si>
  <si>
    <t>1600000US5315290</t>
  </si>
  <si>
    <t>1600000US5315325</t>
  </si>
  <si>
    <t>1600000US5315710</t>
  </si>
  <si>
    <t>1600000US5315780</t>
  </si>
  <si>
    <t>1600000US5316165</t>
  </si>
  <si>
    <t>1600000US5316170</t>
  </si>
  <si>
    <t>1600000US5316340</t>
  </si>
  <si>
    <t>1600000US5316375</t>
  </si>
  <si>
    <t>1600000US5316550</t>
  </si>
  <si>
    <t>1600000US5316585</t>
  </si>
  <si>
    <t>1600000US5316690</t>
  </si>
  <si>
    <t>1600000US5316760</t>
  </si>
  <si>
    <t>1600000US5316795</t>
  </si>
  <si>
    <t>1600000US5316970</t>
  </si>
  <si>
    <t>1600000US5317215</t>
  </si>
  <si>
    <t>1600000US5317320</t>
  </si>
  <si>
    <t>1600000US5317495</t>
  </si>
  <si>
    <t>1600000US5317617</t>
  </si>
  <si>
    <t>1600000US5317635</t>
  </si>
  <si>
    <t>1600000US5317880</t>
  </si>
  <si>
    <t>1600000US5318055</t>
  </si>
  <si>
    <t>1600000US5318198</t>
  </si>
  <si>
    <t>1600000US5318265</t>
  </si>
  <si>
    <t>1600000US5318775</t>
  </si>
  <si>
    <t>1600000US5318965</t>
  </si>
  <si>
    <t>1600000US5319035</t>
  </si>
  <si>
    <t>1600000US5319290</t>
  </si>
  <si>
    <t>1600000US5319630</t>
  </si>
  <si>
    <t>1600000US5319700</t>
  </si>
  <si>
    <t>1600000US5319770</t>
  </si>
  <si>
    <t>1600000US5319857</t>
  </si>
  <si>
    <t>1600000US5320155</t>
  </si>
  <si>
    <t>1600000US5320260</t>
  </si>
  <si>
    <t>1600000US5320645</t>
  </si>
  <si>
    <t>1600000US5320680</t>
  </si>
  <si>
    <t>1600000US5320750</t>
  </si>
  <si>
    <t>1600000US5320890</t>
  </si>
  <si>
    <t>1600000US5321030</t>
  </si>
  <si>
    <t>1600000US5321205</t>
  </si>
  <si>
    <t>1600000US5321240</t>
  </si>
  <si>
    <t>1600000US5321450</t>
  </si>
  <si>
    <t>1600000US5321485</t>
  </si>
  <si>
    <t>1600000US5321730</t>
  </si>
  <si>
    <t>1600000US5321800</t>
  </si>
  <si>
    <t>1600000US5322010</t>
  </si>
  <si>
    <t>1600000US5322045</t>
  </si>
  <si>
    <t>1600000US5322080</t>
  </si>
  <si>
    <t>1600000US5322150</t>
  </si>
  <si>
    <t>1600000US5322255</t>
  </si>
  <si>
    <t>1600000US5322640</t>
  </si>
  <si>
    <t>1600000US5322745</t>
  </si>
  <si>
    <t>1600000US5322955</t>
  </si>
  <si>
    <t>1600000US5322990</t>
  </si>
  <si>
    <t>1600000US5323160</t>
  </si>
  <si>
    <t>1600000US5323165</t>
  </si>
  <si>
    <t>1600000US5323200</t>
  </si>
  <si>
    <t>1600000US5323340</t>
  </si>
  <si>
    <t>1600000US5323515</t>
  </si>
  <si>
    <t>1600000US5323550</t>
  </si>
  <si>
    <t>1600000US5323620</t>
  </si>
  <si>
    <t>1600000US5323690</t>
  </si>
  <si>
    <t>1600000US5323795</t>
  </si>
  <si>
    <t>1600000US5323830</t>
  </si>
  <si>
    <t>1600000US5323865</t>
  </si>
  <si>
    <t>1600000US5323970</t>
  </si>
  <si>
    <t>1600000US5324188</t>
  </si>
  <si>
    <t>1600000US5324425</t>
  </si>
  <si>
    <t>1600000US5324565</t>
  </si>
  <si>
    <t>1600000US5324810</t>
  </si>
  <si>
    <t>1600000US5324915</t>
  </si>
  <si>
    <t>1600000US5325300</t>
  </si>
  <si>
    <t>1600000US5325370</t>
  </si>
  <si>
    <t>1600000US5325475</t>
  </si>
  <si>
    <t>1600000US5325510</t>
  </si>
  <si>
    <t>1600000US5325615</t>
  </si>
  <si>
    <t>1600000US5326140</t>
  </si>
  <si>
    <t>1600000US5326245</t>
  </si>
  <si>
    <t>1600000US5326420</t>
  </si>
  <si>
    <t>1600000US5326455</t>
  </si>
  <si>
    <t>1600000US5326735</t>
  </si>
  <si>
    <t>1600000US5326875</t>
  </si>
  <si>
    <t>1600000US5326945</t>
  </si>
  <si>
    <t>1600000US5327225</t>
  </si>
  <si>
    <t>1600000US5327365</t>
  </si>
  <si>
    <t>1600000US5327435</t>
  </si>
  <si>
    <t>1600000US5327680</t>
  </si>
  <si>
    <t>1600000US5327785</t>
  </si>
  <si>
    <t>1600000US5327855</t>
  </si>
  <si>
    <t>1600000US5327890</t>
  </si>
  <si>
    <t>1600000US5327925</t>
  </si>
  <si>
    <t>1600000US5327960</t>
  </si>
  <si>
    <t>1600000US5327995</t>
  </si>
  <si>
    <t>1600000US5328135</t>
  </si>
  <si>
    <t>1600000US5328345</t>
  </si>
  <si>
    <t>1600000US5328450</t>
  </si>
  <si>
    <t>1600000US5328590</t>
  </si>
  <si>
    <t>1600000US5328695</t>
  </si>
  <si>
    <t>1600000US5329255</t>
  </si>
  <si>
    <t>1600000US5329430</t>
  </si>
  <si>
    <t>1600000US5329710</t>
  </si>
  <si>
    <t>1600000US5329745</t>
  </si>
  <si>
    <t>1600000US5329920</t>
  </si>
  <si>
    <t>1600000US5330030</t>
  </si>
  <si>
    <t>1600000US5330060</t>
  </si>
  <si>
    <t>1600000US5330305</t>
  </si>
  <si>
    <t>1600000US5330690</t>
  </si>
  <si>
    <t>1600000US5330750</t>
  </si>
  <si>
    <t>1600000US5331495</t>
  </si>
  <si>
    <t>1600000US5331530</t>
  </si>
  <si>
    <t>1600000US5331540</t>
  </si>
  <si>
    <t>1600000US5331985</t>
  </si>
  <si>
    <t>1600000US5332125</t>
  </si>
  <si>
    <t>1600000US5332300</t>
  </si>
  <si>
    <t>1600000US5332650</t>
  </si>
  <si>
    <t>1600000US5332755</t>
  </si>
  <si>
    <t>1600000US5333000</t>
  </si>
  <si>
    <t>1600000US5333105</t>
  </si>
  <si>
    <t>1600000US5333175</t>
  </si>
  <si>
    <t>1600000US5333280</t>
  </si>
  <si>
    <t>1600000US5333560</t>
  </si>
  <si>
    <t>1600000US5333805</t>
  </si>
  <si>
    <t>1600000US5333890</t>
  </si>
  <si>
    <t>1600000US5334575</t>
  </si>
  <si>
    <t>1600000US5334645</t>
  </si>
  <si>
    <t>1600000US5334890</t>
  </si>
  <si>
    <t>1600000US5334915</t>
  </si>
  <si>
    <t>1600000US5334960</t>
  </si>
  <si>
    <t>1600000US5335065</t>
  </si>
  <si>
    <t>1600000US5335135</t>
  </si>
  <si>
    <t>1600000US5335170</t>
  </si>
  <si>
    <t>1600000US5335275</t>
  </si>
  <si>
    <t>1600000US5335415</t>
  </si>
  <si>
    <t>1600000US5335450</t>
  </si>
  <si>
    <t>1600000US5335485</t>
  </si>
  <si>
    <t>1600000US5335555</t>
  </si>
  <si>
    <t>1600000US5335625</t>
  </si>
  <si>
    <t>1600000US5335870</t>
  </si>
  <si>
    <t>1600000US5335940</t>
  </si>
  <si>
    <t>1600000US5336045</t>
  </si>
  <si>
    <t>1600000US5336115</t>
  </si>
  <si>
    <t>1600000US5336395</t>
  </si>
  <si>
    <t>1600000US5336710</t>
  </si>
  <si>
    <t>1600000US5336745</t>
  </si>
  <si>
    <t>1600000US5336780</t>
  </si>
  <si>
    <t>1600000US5336850</t>
  </si>
  <si>
    <t>1600000US5336920</t>
  </si>
  <si>
    <t>1600000US5337077</t>
  </si>
  <si>
    <t>1600000US5337100</t>
  </si>
  <si>
    <t>1600000US5337105</t>
  </si>
  <si>
    <t>1600000US5337270</t>
  </si>
  <si>
    <t>1600000US5337287</t>
  </si>
  <si>
    <t>1600000US5337345</t>
  </si>
  <si>
    <t>1600000US5337415</t>
  </si>
  <si>
    <t>1600000US5337420</t>
  </si>
  <si>
    <t>1600000US5337430</t>
  </si>
  <si>
    <t>1600000US5337526</t>
  </si>
  <si>
    <t>1600000US5337538</t>
  </si>
  <si>
    <t>1600000US5337567</t>
  </si>
  <si>
    <t>1600000US5337672</t>
  </si>
  <si>
    <t>1600000US5337830</t>
  </si>
  <si>
    <t>1600000US5337900</t>
  </si>
  <si>
    <t>1600000US5337917</t>
  </si>
  <si>
    <t>1600000US5337920</t>
  </si>
  <si>
    <t>1600000US5337926</t>
  </si>
  <si>
    <t>1600000US5338038</t>
  </si>
  <si>
    <t>1600000US5338215</t>
  </si>
  <si>
    <t>1600000US5338355</t>
  </si>
  <si>
    <t>1600000US5338420</t>
  </si>
  <si>
    <t>1600000US5338495</t>
  </si>
  <si>
    <t>1600000US5338705</t>
  </si>
  <si>
    <t>1600000US5338845</t>
  </si>
  <si>
    <t>1600000US5338880</t>
  </si>
  <si>
    <t>1600000US5339212</t>
  </si>
  <si>
    <t>1600000US5339335</t>
  </si>
  <si>
    <t>1600000US5339510</t>
  </si>
  <si>
    <t>1600000US5339860</t>
  </si>
  <si>
    <t>1600000US5339930</t>
  </si>
  <si>
    <t>1600000US5340070</t>
  </si>
  <si>
    <t>1600000US5340105</t>
  </si>
  <si>
    <t>1600000US5340245</t>
  </si>
  <si>
    <t>1600000US5340270</t>
  </si>
  <si>
    <t>1600000US5340350</t>
  </si>
  <si>
    <t>1600000US5340385</t>
  </si>
  <si>
    <t>1600000US5340570</t>
  </si>
  <si>
    <t>1600000US5340735</t>
  </si>
  <si>
    <t>1600000US5340770</t>
  </si>
  <si>
    <t>1600000US5340805</t>
  </si>
  <si>
    <t>1600000US5340840</t>
  </si>
  <si>
    <t>1600000US5340980</t>
  </si>
  <si>
    <t>1600000US5341155</t>
  </si>
  <si>
    <t>1600000US5341225</t>
  </si>
  <si>
    <t>1600000US5341470</t>
  </si>
  <si>
    <t>1600000US5341645</t>
  </si>
  <si>
    <t>1600000US5341785</t>
  </si>
  <si>
    <t>1600000US5342275</t>
  </si>
  <si>
    <t>1600000US5342310</t>
  </si>
  <si>
    <t>1600000US5342345</t>
  </si>
  <si>
    <t>1600000US5342380</t>
  </si>
  <si>
    <t>1600000US5342415</t>
  </si>
  <si>
    <t>1600000US5342450</t>
  </si>
  <si>
    <t>1600000US5342800</t>
  </si>
  <si>
    <t>1600000US5342835</t>
  </si>
  <si>
    <t>1600000US5343010</t>
  </si>
  <si>
    <t>1600000US5343062</t>
  </si>
  <si>
    <t>1600000US5343150</t>
  </si>
  <si>
    <t>1600000US5343255</t>
  </si>
  <si>
    <t>1600000US5343325</t>
  </si>
  <si>
    <t>1600000US5343395</t>
  </si>
  <si>
    <t>1600000US5343491</t>
  </si>
  <si>
    <t>1600000US5343640</t>
  </si>
  <si>
    <t>1600000US5343762</t>
  </si>
  <si>
    <t>1600000US5343815</t>
  </si>
  <si>
    <t>1600000US5343885</t>
  </si>
  <si>
    <t>1600000US5343955</t>
  </si>
  <si>
    <t>1600000US5344165</t>
  </si>
  <si>
    <t>1600000US5344260</t>
  </si>
  <si>
    <t>1600000US5344480</t>
  </si>
  <si>
    <t>1600000US5344585</t>
  </si>
  <si>
    <t>1600000US5344620</t>
  </si>
  <si>
    <t>1600000US5344690</t>
  </si>
  <si>
    <t>1600000US5344725</t>
  </si>
  <si>
    <t>1600000US5345005</t>
  </si>
  <si>
    <t>1600000US5345180</t>
  </si>
  <si>
    <t>1600000US5345285</t>
  </si>
  <si>
    <t>1600000US5345320</t>
  </si>
  <si>
    <t>1600000US5345355</t>
  </si>
  <si>
    <t>1600000US5345495</t>
  </si>
  <si>
    <t>1600000US5345865</t>
  </si>
  <si>
    <t>1600000US5345870</t>
  </si>
  <si>
    <t>1600000US5345985</t>
  </si>
  <si>
    <t>1600000US5346020</t>
  </si>
  <si>
    <t>1600000US5346090</t>
  </si>
  <si>
    <t>1600000US5346125</t>
  </si>
  <si>
    <t>1600000US5346215</t>
  </si>
  <si>
    <t>1600000US5346405</t>
  </si>
  <si>
    <t>1600000US5346685</t>
  </si>
  <si>
    <t>1600000US5346725</t>
  </si>
  <si>
    <t>1600000US5346895</t>
  </si>
  <si>
    <t>1600000US5347175</t>
  </si>
  <si>
    <t>1600000US5347245</t>
  </si>
  <si>
    <t>1600000US5347280</t>
  </si>
  <si>
    <t>1600000US5347315</t>
  </si>
  <si>
    <t>1600000US5347490</t>
  </si>
  <si>
    <t>1600000US5347560</t>
  </si>
  <si>
    <t>1600000US5347630</t>
  </si>
  <si>
    <t>1600000US5347665</t>
  </si>
  <si>
    <t>1600000US5347735</t>
  </si>
  <si>
    <t>1600000US5347805</t>
  </si>
  <si>
    <t>1600000US5347980</t>
  </si>
  <si>
    <t>1600000US5348015</t>
  </si>
  <si>
    <t>1600000US5348225</t>
  </si>
  <si>
    <t>1600000US5348295</t>
  </si>
  <si>
    <t>1600000US5348330</t>
  </si>
  <si>
    <t>1600000US5348540</t>
  </si>
  <si>
    <t>1600000US5348550</t>
  </si>
  <si>
    <t>1600000US5348645</t>
  </si>
  <si>
    <t>1600000US5348820</t>
  </si>
  <si>
    <t>1600000US5349030</t>
  </si>
  <si>
    <t>1600000US5349193</t>
  </si>
  <si>
    <t>1600000US5349275</t>
  </si>
  <si>
    <t>1600000US5349415</t>
  </si>
  <si>
    <t>1600000US5349485</t>
  </si>
  <si>
    <t>1600000US5349555</t>
  </si>
  <si>
    <t>1600000US5349765</t>
  </si>
  <si>
    <t>1600000US5349940</t>
  </si>
  <si>
    <t>1600000US5350007</t>
  </si>
  <si>
    <t>1600000US5350045</t>
  </si>
  <si>
    <t>1600000US5350115</t>
  </si>
  <si>
    <t>1600000US5350183</t>
  </si>
  <si>
    <t>1600000US5350195</t>
  </si>
  <si>
    <t>1600000US5350210</t>
  </si>
  <si>
    <t>1600000US5350325</t>
  </si>
  <si>
    <t>1600000US5350360</t>
  </si>
  <si>
    <t>1600000US5350430</t>
  </si>
  <si>
    <t>1600000US5350500</t>
  </si>
  <si>
    <t>1600000US5350535</t>
  </si>
  <si>
    <t>1600000US5350570</t>
  </si>
  <si>
    <t>1600000US5350745</t>
  </si>
  <si>
    <t>1600000US5350920</t>
  </si>
  <si>
    <t>1600000US5351300</t>
  </si>
  <si>
    <t>1600000US5351340</t>
  </si>
  <si>
    <t>1600000US5351410</t>
  </si>
  <si>
    <t>1600000US5351795</t>
  </si>
  <si>
    <t>1600000US5351830</t>
  </si>
  <si>
    <t>1600000US5351970</t>
  </si>
  <si>
    <t>1600000US5352005</t>
  </si>
  <si>
    <t>1600000US5352110</t>
  </si>
  <si>
    <t>1600000US5352215</t>
  </si>
  <si>
    <t>1600000US5352267</t>
  </si>
  <si>
    <t>1600000US5352285</t>
  </si>
  <si>
    <t>1600000US5352378</t>
  </si>
  <si>
    <t>1600000US5352495</t>
  </si>
  <si>
    <t>1600000US5352530</t>
  </si>
  <si>
    <t>1600000US5352600</t>
  </si>
  <si>
    <t>1600000US5352950</t>
  </si>
  <si>
    <t>1600000US5353265</t>
  </si>
  <si>
    <t>1600000US5353335</t>
  </si>
  <si>
    <t>1600000US5353440</t>
  </si>
  <si>
    <t>1600000US5353545</t>
  </si>
  <si>
    <t>1600000US5353720</t>
  </si>
  <si>
    <t>1600000US5353800</t>
  </si>
  <si>
    <t>1600000US5353930</t>
  </si>
  <si>
    <t>1600000US5354213</t>
  </si>
  <si>
    <t>1600000US5354405</t>
  </si>
  <si>
    <t>1600000US5355015</t>
  </si>
  <si>
    <t>1600000US5355120</t>
  </si>
  <si>
    <t>1600000US5355365</t>
  </si>
  <si>
    <t>1600000US5355400</t>
  </si>
  <si>
    <t>1600000US5355540</t>
  </si>
  <si>
    <t>1600000US5355612</t>
  </si>
  <si>
    <t>1600000US5355620</t>
  </si>
  <si>
    <t>1600000US5355645</t>
  </si>
  <si>
    <t>1600000US5355785</t>
  </si>
  <si>
    <t>1600000US5355855</t>
  </si>
  <si>
    <t>1600000US5355995</t>
  </si>
  <si>
    <t>1600000US5356150</t>
  </si>
  <si>
    <t>1600000US5356170</t>
  </si>
  <si>
    <t>1600000US5356240</t>
  </si>
  <si>
    <t>1600000US5356450</t>
  </si>
  <si>
    <t>1600000US5356555</t>
  </si>
  <si>
    <t>1600000US5356625</t>
  </si>
  <si>
    <t>1600000US5356660</t>
  </si>
  <si>
    <t>1600000US5356695</t>
  </si>
  <si>
    <t>1600000US5356905</t>
  </si>
  <si>
    <t>1600000US5356975</t>
  </si>
  <si>
    <t>1600000US5357030</t>
  </si>
  <si>
    <t>1600000US5357115</t>
  </si>
  <si>
    <t>1600000US5357140</t>
  </si>
  <si>
    <t>1600000US5357220</t>
  </si>
  <si>
    <t>1600000US5357395</t>
  </si>
  <si>
    <t>1600000US5357430</t>
  </si>
  <si>
    <t>1600000US5357465</t>
  </si>
  <si>
    <t>1600000US5357535</t>
  </si>
  <si>
    <t>1600000US5357745</t>
  </si>
  <si>
    <t>1600000US5357850</t>
  </si>
  <si>
    <t>1600000US5358235</t>
  </si>
  <si>
    <t>1600000US5358410</t>
  </si>
  <si>
    <t>1600000US5358725</t>
  </si>
  <si>
    <t>1600000US5358742</t>
  </si>
  <si>
    <t>1600000US5358777</t>
  </si>
  <si>
    <t>1600000US5358795</t>
  </si>
  <si>
    <t>1600000US5359110</t>
  </si>
  <si>
    <t>1600000US5359145</t>
  </si>
  <si>
    <t>1600000US5359180</t>
  </si>
  <si>
    <t>1600000US5359250</t>
  </si>
  <si>
    <t>1600000US5359390</t>
  </si>
  <si>
    <t>1600000US5359635</t>
  </si>
  <si>
    <t>1600000US5359705</t>
  </si>
  <si>
    <t>1600000US5359775</t>
  </si>
  <si>
    <t>1600000US5359845</t>
  </si>
  <si>
    <t>1600000US5359880</t>
  </si>
  <si>
    <t>1600000US5360055</t>
  </si>
  <si>
    <t>1600000US5360160</t>
  </si>
  <si>
    <t>1600000US5360230</t>
  </si>
  <si>
    <t>1600000US5360510</t>
  </si>
  <si>
    <t>1600000US5360580</t>
  </si>
  <si>
    <t>1600000US5360860</t>
  </si>
  <si>
    <t>1600000US5361000</t>
  </si>
  <si>
    <t>1600000US5361115</t>
  </si>
  <si>
    <t>1600000US5361235</t>
  </si>
  <si>
    <t>1600000US5361350</t>
  </si>
  <si>
    <t>1600000US5362120</t>
  </si>
  <si>
    <t>1600000US5362288</t>
  </si>
  <si>
    <t>1600000US5363000</t>
  </si>
  <si>
    <t>1600000US5363210</t>
  </si>
  <si>
    <t>1600000US5363245</t>
  </si>
  <si>
    <t>1600000US5363280</t>
  </si>
  <si>
    <t>1600000US5363385</t>
  </si>
  <si>
    <t>1600000US5363545</t>
  </si>
  <si>
    <t>1600000US5363735</t>
  </si>
  <si>
    <t>1600000US5363960</t>
  </si>
  <si>
    <t>1600000US5364190</t>
  </si>
  <si>
    <t>1600000US5364365</t>
  </si>
  <si>
    <t>1600000US5364380</t>
  </si>
  <si>
    <t>1600000US5364610</t>
  </si>
  <si>
    <t>1600000US5364755</t>
  </si>
  <si>
    <t>1600000US5364775</t>
  </si>
  <si>
    <t>1600000US5364855</t>
  </si>
  <si>
    <t>1600000US5365170</t>
  </si>
  <si>
    <t>1600000US5365205</t>
  </si>
  <si>
    <t>1600000US5365275</t>
  </si>
  <si>
    <t>1600000US5365345</t>
  </si>
  <si>
    <t>1600000US5365625</t>
  </si>
  <si>
    <t>1600000US5365765</t>
  </si>
  <si>
    <t>1600000US5365810</t>
  </si>
  <si>
    <t>1600000US5365922</t>
  </si>
  <si>
    <t>1600000US5366045</t>
  </si>
  <si>
    <t>1600000US5366185</t>
  </si>
  <si>
    <t>1600000US5366220</t>
  </si>
  <si>
    <t>1600000US5366255</t>
  </si>
  <si>
    <t>1600000US5366290</t>
  </si>
  <si>
    <t>1600000US5367000</t>
  </si>
  <si>
    <t>1600000US5367167</t>
  </si>
  <si>
    <t>1600000US5367175</t>
  </si>
  <si>
    <t>1600000US5367210</t>
  </si>
  <si>
    <t>1600000US5367435</t>
  </si>
  <si>
    <t>1600000US5367455</t>
  </si>
  <si>
    <t>1600000US5367490</t>
  </si>
  <si>
    <t>1600000US5367595</t>
  </si>
  <si>
    <t>1600000US5367770</t>
  </si>
  <si>
    <t>1600000US5367805</t>
  </si>
  <si>
    <t>1600000US5367875</t>
  </si>
  <si>
    <t>1600000US5368200</t>
  </si>
  <si>
    <t>1600000US5368260</t>
  </si>
  <si>
    <t>1600000US5368330</t>
  </si>
  <si>
    <t>1600000US5368365</t>
  </si>
  <si>
    <t>1600000US5368410</t>
  </si>
  <si>
    <t>1600000US5368417</t>
  </si>
  <si>
    <t>1600000US5368435</t>
  </si>
  <si>
    <t>1600000US5368480</t>
  </si>
  <si>
    <t>1600000US5368750</t>
  </si>
  <si>
    <t>1600000US5368785</t>
  </si>
  <si>
    <t>1600000US5369170</t>
  </si>
  <si>
    <t>1600000US5369280</t>
  </si>
  <si>
    <t>1600000US5370000</t>
  </si>
  <si>
    <t>1600000US5370175</t>
  </si>
  <si>
    <t>1600000US5370245</t>
  </si>
  <si>
    <t>1600000US5370280</t>
  </si>
  <si>
    <t>1600000US5370560</t>
  </si>
  <si>
    <t>1600000US5370630</t>
  </si>
  <si>
    <t>1600000US5370805</t>
  </si>
  <si>
    <t>1600000US5371225</t>
  </si>
  <si>
    <t>1600000US5371330</t>
  </si>
  <si>
    <t>1600000US5371400</t>
  </si>
  <si>
    <t>1600000US5371680</t>
  </si>
  <si>
    <t>1600000US5371785</t>
  </si>
  <si>
    <t>1600000US5371890</t>
  </si>
  <si>
    <t>1600000US5371960</t>
  </si>
  <si>
    <t>1600000US5371995</t>
  </si>
  <si>
    <t>1600000US5372030</t>
  </si>
  <si>
    <t>1600000US5372170</t>
  </si>
  <si>
    <t>1600000US5372205</t>
  </si>
  <si>
    <t>1600000US5372450</t>
  </si>
  <si>
    <t>1600000US5372625</t>
  </si>
  <si>
    <t>1600000US5372905</t>
  </si>
  <si>
    <t>1600000US5373065</t>
  </si>
  <si>
    <t>1600000US5373080</t>
  </si>
  <si>
    <t>1600000US5373255</t>
  </si>
  <si>
    <t>1600000US5373290</t>
  </si>
  <si>
    <t>1600000US5373307</t>
  </si>
  <si>
    <t>1600000US5373360</t>
  </si>
  <si>
    <t>1600000US5373465</t>
  </si>
  <si>
    <t>1600000US5373580</t>
  </si>
  <si>
    <t>1600000US5373780</t>
  </si>
  <si>
    <t>1600000US5373885</t>
  </si>
  <si>
    <t>1600000US5374060</t>
  </si>
  <si>
    <t>1600000US5374200</t>
  </si>
  <si>
    <t>1600000US5374305</t>
  </si>
  <si>
    <t>1600000US5374445</t>
  </si>
  <si>
    <t>1600000US5374585</t>
  </si>
  <si>
    <t>1600000US5374760</t>
  </si>
  <si>
    <t>1600000US5375565</t>
  </si>
  <si>
    <t>1600000US5375775</t>
  </si>
  <si>
    <t>1600000US5375810</t>
  </si>
  <si>
    <t>1600000US5375905</t>
  </si>
  <si>
    <t>1600000US5375985</t>
  </si>
  <si>
    <t>1600000US5376125</t>
  </si>
  <si>
    <t>1600000US5376160</t>
  </si>
  <si>
    <t>1600000US5376195</t>
  </si>
  <si>
    <t>1600000US5376405</t>
  </si>
  <si>
    <t>1600000US5376440</t>
  </si>
  <si>
    <t>1600000US5376510</t>
  </si>
  <si>
    <t>1600000US5376615</t>
  </si>
  <si>
    <t>1600000US5376720</t>
  </si>
  <si>
    <t>1600000US5377105</t>
  </si>
  <si>
    <t>1600000US5377297</t>
  </si>
  <si>
    <t>1600000US5377612</t>
  </si>
  <si>
    <t>1600000US5377630</t>
  </si>
  <si>
    <t>1600000US5377665</t>
  </si>
  <si>
    <t>1600000US5378155</t>
  </si>
  <si>
    <t>1600000US5378225</t>
  </si>
  <si>
    <t>1600000US5378330</t>
  </si>
  <si>
    <t>1600000US5378365</t>
  </si>
  <si>
    <t>1600000US5378680</t>
  </si>
  <si>
    <t>1600000US5378780</t>
  </si>
  <si>
    <t>1600000US5378925</t>
  </si>
  <si>
    <t>1600000US5378995</t>
  </si>
  <si>
    <t>1600000US5379135</t>
  </si>
  <si>
    <t>1600000US5379275</t>
  </si>
  <si>
    <t>1600000US5379380</t>
  </si>
  <si>
    <t>1600000US5379485</t>
  </si>
  <si>
    <t>1600000US5379555</t>
  </si>
  <si>
    <t>1600000US5379590</t>
  </si>
  <si>
    <t>1600000US5379625</t>
  </si>
  <si>
    <t>1600000US5379825</t>
  </si>
  <si>
    <t>1600000US5379835</t>
  </si>
  <si>
    <t>1600000US5379975</t>
  </si>
  <si>
    <t>1600000US5380010</t>
  </si>
  <si>
    <t>1600000US5380150</t>
  </si>
  <si>
    <t>1600000US5380220</t>
  </si>
  <si>
    <t>1600000US5380500</t>
  </si>
  <si>
    <t>Households</t>
  </si>
  <si>
    <t>Estimate</t>
  </si>
  <si>
    <t>Percent</t>
  </si>
  <si>
    <t>Above Median Income (&gt;100%)</t>
  </si>
  <si>
    <t>0500000US53001</t>
  </si>
  <si>
    <t>Adams County, Washington</t>
  </si>
  <si>
    <t>0500000US53003</t>
  </si>
  <si>
    <t>Asotin County, Washington</t>
  </si>
  <si>
    <t>0500000US53005</t>
  </si>
  <si>
    <t>Benton County, Washington</t>
  </si>
  <si>
    <t>0500000US53007</t>
  </si>
  <si>
    <t>Chelan County, Washington</t>
  </si>
  <si>
    <t>0500000US53009</t>
  </si>
  <si>
    <t>Clallam County, Washington</t>
  </si>
  <si>
    <t>0500000US53011</t>
  </si>
  <si>
    <t>Clark County, Washington</t>
  </si>
  <si>
    <t>0500000US53013</t>
  </si>
  <si>
    <t>Columbia County, Washington</t>
  </si>
  <si>
    <t>0500000US53015</t>
  </si>
  <si>
    <t>Cowlitz County, Washington</t>
  </si>
  <si>
    <t>0500000US53017</t>
  </si>
  <si>
    <t>Douglas County, Washington</t>
  </si>
  <si>
    <t>0500000US53019</t>
  </si>
  <si>
    <t>Ferry County, Washington</t>
  </si>
  <si>
    <t>0500000US53021</t>
  </si>
  <si>
    <t>Franklin County, Washington</t>
  </si>
  <si>
    <t>0500000US53023</t>
  </si>
  <si>
    <t>Garfield County, Washington</t>
  </si>
  <si>
    <t>0500000US53025</t>
  </si>
  <si>
    <t>Grant County, Washington</t>
  </si>
  <si>
    <t>0500000US53027</t>
  </si>
  <si>
    <t>Grays Harbor County, Washington</t>
  </si>
  <si>
    <t>0500000US53029</t>
  </si>
  <si>
    <t>Island County, Washington</t>
  </si>
  <si>
    <t>0500000US53031</t>
  </si>
  <si>
    <t>Jefferson County, Washington</t>
  </si>
  <si>
    <t>0500000US53033</t>
  </si>
  <si>
    <t>King County, Washington</t>
  </si>
  <si>
    <t>0500000US53035</t>
  </si>
  <si>
    <t>Kitsap County, Washington</t>
  </si>
  <si>
    <t>0500000US53037</t>
  </si>
  <si>
    <t>Kittitas County, Washington</t>
  </si>
  <si>
    <t>0500000US53039</t>
  </si>
  <si>
    <t>Klickitat County, Washington</t>
  </si>
  <si>
    <t>0500000US53041</t>
  </si>
  <si>
    <t>Lewis County, Washington</t>
  </si>
  <si>
    <t>0500000US53043</t>
  </si>
  <si>
    <t>Lincoln County, Washington</t>
  </si>
  <si>
    <t>0500000US53045</t>
  </si>
  <si>
    <t>Mason County, Washington</t>
  </si>
  <si>
    <t>0500000US53047</t>
  </si>
  <si>
    <t>Okanogan County, Washington</t>
  </si>
  <si>
    <t>0500000US53049</t>
  </si>
  <si>
    <t>Pacific County, Washington</t>
  </si>
  <si>
    <t>0500000US53051</t>
  </si>
  <si>
    <t>Pend Oreille County, Washington</t>
  </si>
  <si>
    <t>0500000US53053</t>
  </si>
  <si>
    <t>Pierce County, Washington</t>
  </si>
  <si>
    <t>0500000US53055</t>
  </si>
  <si>
    <t>San Juan County, Washington</t>
  </si>
  <si>
    <t>0500000US53057</t>
  </si>
  <si>
    <t>Skagit County, Washington</t>
  </si>
  <si>
    <t>0500000US53059</t>
  </si>
  <si>
    <t>Skamania County, Washington</t>
  </si>
  <si>
    <t>0500000US53061</t>
  </si>
  <si>
    <t>Snohomish County, Washington</t>
  </si>
  <si>
    <t>0500000US53063</t>
  </si>
  <si>
    <t>Spokane County, Washington</t>
  </si>
  <si>
    <t>0500000US53065</t>
  </si>
  <si>
    <t>Stevens County, Washington</t>
  </si>
  <si>
    <t>0500000US53067</t>
  </si>
  <si>
    <t>Thurston County, Washington</t>
  </si>
  <si>
    <t>0500000US53069</t>
  </si>
  <si>
    <t>Wahkiakum County, Washington</t>
  </si>
  <si>
    <t>0500000US53071</t>
  </si>
  <si>
    <t>Walla Walla County, Washington</t>
  </si>
  <si>
    <t>0500000US53073</t>
  </si>
  <si>
    <t>Whatcom County, Washington</t>
  </si>
  <si>
    <t>0500000US53075</t>
  </si>
  <si>
    <t>Whitman County, Washington</t>
  </si>
  <si>
    <t>0500000US53077</t>
  </si>
  <si>
    <t>Yakima County, Washington</t>
  </si>
  <si>
    <t>Income Category (% of AMI)</t>
  </si>
  <si>
    <t>Very Low-Income (30-50%)</t>
  </si>
  <si>
    <t>Low-Income (50-80%)</t>
  </si>
  <si>
    <t>Moderate Income (80-100%)</t>
  </si>
  <si>
    <t>Low-Income (50-80% AMI)</t>
  </si>
  <si>
    <t>Cost-Burdened (30-50%)</t>
  </si>
  <si>
    <t>Severely Cost-Burdened (&gt;50%)</t>
  </si>
  <si>
    <t>Extremely Low-Income (≤30% MFI)</t>
  </si>
  <si>
    <t>GEO_ID</t>
  </si>
  <si>
    <t>NAME</t>
  </si>
  <si>
    <t>T1_est5</t>
  </si>
  <si>
    <t>T1_est46</t>
  </si>
  <si>
    <t>T1_est87</t>
  </si>
  <si>
    <t>T1_est129</t>
  </si>
  <si>
    <t>T1_est170</t>
  </si>
  <si>
    <t>T1_est211</t>
  </si>
  <si>
    <t>T1_est2</t>
  </si>
  <si>
    <t>T1_est4</t>
  </si>
  <si>
    <t>T1_est6</t>
  </si>
  <si>
    <t>T1_est7</t>
  </si>
  <si>
    <t>T1_est8</t>
  </si>
  <si>
    <t>T1_est9</t>
  </si>
  <si>
    <t>T1_est10</t>
  </si>
  <si>
    <t>T1_est11</t>
  </si>
  <si>
    <t>T1_est12</t>
  </si>
  <si>
    <t>T1_est13</t>
  </si>
  <si>
    <t>T1_est14</t>
  </si>
  <si>
    <t>T1_est15</t>
  </si>
  <si>
    <t>T1_est16</t>
  </si>
  <si>
    <t>T1_est17</t>
  </si>
  <si>
    <t>T1_est18</t>
  </si>
  <si>
    <t>T1_est19</t>
  </si>
  <si>
    <t>T1_est20</t>
  </si>
  <si>
    <t>T1_est21</t>
  </si>
  <si>
    <t>T1_est22</t>
  </si>
  <si>
    <t>T1_est23</t>
  </si>
  <si>
    <t>T1_est24</t>
  </si>
  <si>
    <t>T1_est25</t>
  </si>
  <si>
    <t>T1_est26</t>
  </si>
  <si>
    <t>T1_est27</t>
  </si>
  <si>
    <t>T1_est28</t>
  </si>
  <si>
    <t>T1_est29</t>
  </si>
  <si>
    <t>T1_est30</t>
  </si>
  <si>
    <t>T1_est31</t>
  </si>
  <si>
    <t>T1_est32</t>
  </si>
  <si>
    <t>T1_est33</t>
  </si>
  <si>
    <t>T1_est34</t>
  </si>
  <si>
    <t>T1_est35</t>
  </si>
  <si>
    <t>T1_est36</t>
  </si>
  <si>
    <t>T1_est37</t>
  </si>
  <si>
    <t>T1_est38</t>
  </si>
  <si>
    <t>T1_est39</t>
  </si>
  <si>
    <t>T1_est40</t>
  </si>
  <si>
    <t>T1_est41</t>
  </si>
  <si>
    <t>T1_est42</t>
  </si>
  <si>
    <t>T1_est43</t>
  </si>
  <si>
    <t>T1_est44</t>
  </si>
  <si>
    <t>T1_est45</t>
  </si>
  <si>
    <t>T1_est47</t>
  </si>
  <si>
    <t>T1_est48</t>
  </si>
  <si>
    <t>T1_est49</t>
  </si>
  <si>
    <t>T1_est50</t>
  </si>
  <si>
    <t>T1_est51</t>
  </si>
  <si>
    <t>T1_est52</t>
  </si>
  <si>
    <t>T1_est53</t>
  </si>
  <si>
    <t>T1_est54</t>
  </si>
  <si>
    <t>T1_est55</t>
  </si>
  <si>
    <t>T1_est56</t>
  </si>
  <si>
    <t>T1_est57</t>
  </si>
  <si>
    <t>T1_est58</t>
  </si>
  <si>
    <t>T1_est59</t>
  </si>
  <si>
    <t>T1_est60</t>
  </si>
  <si>
    <t>T1_est61</t>
  </si>
  <si>
    <t>T1_est62</t>
  </si>
  <si>
    <t>T1_est63</t>
  </si>
  <si>
    <t>T1_est64</t>
  </si>
  <si>
    <t>T1_est65</t>
  </si>
  <si>
    <t>T1_est66</t>
  </si>
  <si>
    <t>T1_est67</t>
  </si>
  <si>
    <t>T1_est68</t>
  </si>
  <si>
    <t>T1_est69</t>
  </si>
  <si>
    <t>T1_est70</t>
  </si>
  <si>
    <t>T1_est71</t>
  </si>
  <si>
    <t>T1_est72</t>
  </si>
  <si>
    <t>T1_est73</t>
  </si>
  <si>
    <t>T1_est74</t>
  </si>
  <si>
    <t>T1_est75</t>
  </si>
  <si>
    <t>T1_est76</t>
  </si>
  <si>
    <t>T1_est77</t>
  </si>
  <si>
    <t>T1_est78</t>
  </si>
  <si>
    <t>T1_est79</t>
  </si>
  <si>
    <t>T1_est80</t>
  </si>
  <si>
    <t>T1_est81</t>
  </si>
  <si>
    <t>T1_est82</t>
  </si>
  <si>
    <t>T1_est83</t>
  </si>
  <si>
    <t>T1_est84</t>
  </si>
  <si>
    <t>T1_est85</t>
  </si>
  <si>
    <t>T1_est86</t>
  </si>
  <si>
    <t>T1_est88</t>
  </si>
  <si>
    <t>T1_est89</t>
  </si>
  <si>
    <t>T1_est90</t>
  </si>
  <si>
    <t>T1_est91</t>
  </si>
  <si>
    <t>T1_est92</t>
  </si>
  <si>
    <t>T1_est93</t>
  </si>
  <si>
    <t>T1_est94</t>
  </si>
  <si>
    <t>T1_est95</t>
  </si>
  <si>
    <t>T1_est96</t>
  </si>
  <si>
    <t>T1_est97</t>
  </si>
  <si>
    <t>T1_est98</t>
  </si>
  <si>
    <t>T1_est99</t>
  </si>
  <si>
    <t>T1_est100</t>
  </si>
  <si>
    <t>T1_est101</t>
  </si>
  <si>
    <t>T1_est102</t>
  </si>
  <si>
    <t>T1_est103</t>
  </si>
  <si>
    <t>T1_est104</t>
  </si>
  <si>
    <t>T1_est105</t>
  </si>
  <si>
    <t>T1_est106</t>
  </si>
  <si>
    <t>T1_est107</t>
  </si>
  <si>
    <t>T1_est108</t>
  </si>
  <si>
    <t>T1_est109</t>
  </si>
  <si>
    <t>T1_est110</t>
  </si>
  <si>
    <t>T1_est111</t>
  </si>
  <si>
    <t>T1_est112</t>
  </si>
  <si>
    <t>T1_est113</t>
  </si>
  <si>
    <t>T1_est114</t>
  </si>
  <si>
    <t>T1_est115</t>
  </si>
  <si>
    <t>T1_est116</t>
  </si>
  <si>
    <t>T1_est117</t>
  </si>
  <si>
    <t>T1_est118</t>
  </si>
  <si>
    <t>T1_est119</t>
  </si>
  <si>
    <t>T1_est120</t>
  </si>
  <si>
    <t>T1_est121</t>
  </si>
  <si>
    <t>T1_est122</t>
  </si>
  <si>
    <t>T1_est123</t>
  </si>
  <si>
    <t>T1_est124</t>
  </si>
  <si>
    <t>T1_est125</t>
  </si>
  <si>
    <t>T1_est126</t>
  </si>
  <si>
    <t>T1_est127</t>
  </si>
  <si>
    <t>T1_est128</t>
  </si>
  <si>
    <t>T1_est130</t>
  </si>
  <si>
    <t>T1_est131</t>
  </si>
  <si>
    <t>T1_est132</t>
  </si>
  <si>
    <t>T1_est133</t>
  </si>
  <si>
    <t>T1_est134</t>
  </si>
  <si>
    <t>T1_est135</t>
  </si>
  <si>
    <t>T1_est136</t>
  </si>
  <si>
    <t>T1_est137</t>
  </si>
  <si>
    <t>T1_est138</t>
  </si>
  <si>
    <t>T1_est139</t>
  </si>
  <si>
    <t>T1_est140</t>
  </si>
  <si>
    <t>T1_est141</t>
  </si>
  <si>
    <t>T1_est142</t>
  </si>
  <si>
    <t>T1_est143</t>
  </si>
  <si>
    <t>T1_est144</t>
  </si>
  <si>
    <t>T1_est145</t>
  </si>
  <si>
    <t>T1_est146</t>
  </si>
  <si>
    <t>T1_est147</t>
  </si>
  <si>
    <t>T1_est148</t>
  </si>
  <si>
    <t>T1_est149</t>
  </si>
  <si>
    <t>T1_est150</t>
  </si>
  <si>
    <t>T1_est151</t>
  </si>
  <si>
    <t>T1_est152</t>
  </si>
  <si>
    <t>T1_est153</t>
  </si>
  <si>
    <t>T1_est154</t>
  </si>
  <si>
    <t>T1_est155</t>
  </si>
  <si>
    <t>T1_est156</t>
  </si>
  <si>
    <t>T1_est157</t>
  </si>
  <si>
    <t>T1_est158</t>
  </si>
  <si>
    <t>T1_est159</t>
  </si>
  <si>
    <t>T1_est160</t>
  </si>
  <si>
    <t>T1_est161</t>
  </si>
  <si>
    <t>T1_est162</t>
  </si>
  <si>
    <t>T1_est163</t>
  </si>
  <si>
    <t>T1_est164</t>
  </si>
  <si>
    <t>T1_est165</t>
  </si>
  <si>
    <t>T1_est166</t>
  </si>
  <si>
    <t>T1_est167</t>
  </si>
  <si>
    <t>T1_est169</t>
  </si>
  <si>
    <t>T1_est171</t>
  </si>
  <si>
    <t>T1_est172</t>
  </si>
  <si>
    <t>T1_est173</t>
  </si>
  <si>
    <t>T1_est174</t>
  </si>
  <si>
    <t>T1_est175</t>
  </si>
  <si>
    <t>T1_est177</t>
  </si>
  <si>
    <t>T1_est178</t>
  </si>
  <si>
    <t>T1_est179</t>
  </si>
  <si>
    <t>T1_est180</t>
  </si>
  <si>
    <t>T1_est181</t>
  </si>
  <si>
    <t>T1_est182</t>
  </si>
  <si>
    <t>T1_est183</t>
  </si>
  <si>
    <t>T1_est184</t>
  </si>
  <si>
    <t>T1_est185</t>
  </si>
  <si>
    <t>T1_est186</t>
  </si>
  <si>
    <t>T1_est187</t>
  </si>
  <si>
    <t>T1_est188</t>
  </si>
  <si>
    <t>T1_est189</t>
  </si>
  <si>
    <t>T1_est190</t>
  </si>
  <si>
    <t>T1_est191</t>
  </si>
  <si>
    <t>T1_est192</t>
  </si>
  <si>
    <t>T1_est193</t>
  </si>
  <si>
    <t>T1_est194</t>
  </si>
  <si>
    <t>T1_est195</t>
  </si>
  <si>
    <t>T1_est196</t>
  </si>
  <si>
    <t>T1_est197</t>
  </si>
  <si>
    <t>T1_est198</t>
  </si>
  <si>
    <t>T1_est199</t>
  </si>
  <si>
    <t>T1_est200</t>
  </si>
  <si>
    <t>T1_est201</t>
  </si>
  <si>
    <t>T1_est202</t>
  </si>
  <si>
    <t>T1_est203</t>
  </si>
  <si>
    <t>T1_est204</t>
  </si>
  <si>
    <t>T1_est205</t>
  </si>
  <si>
    <t>T1_est206</t>
  </si>
  <si>
    <t>T1_est207</t>
  </si>
  <si>
    <t>T1_est208</t>
  </si>
  <si>
    <t>T1_est210</t>
  </si>
  <si>
    <t>T1_est212</t>
  </si>
  <si>
    <t>T1_est213</t>
  </si>
  <si>
    <t>T1_est214</t>
  </si>
  <si>
    <t>T1_est215</t>
  </si>
  <si>
    <t>T1_est216</t>
  </si>
  <si>
    <t>T1_est218</t>
  </si>
  <si>
    <t>T1_est219</t>
  </si>
  <si>
    <t>T1_est220</t>
  </si>
  <si>
    <t>T1_est221</t>
  </si>
  <si>
    <t>T1_est222</t>
  </si>
  <si>
    <t>T1_est223</t>
  </si>
  <si>
    <t>T1_est224</t>
  </si>
  <si>
    <t>T1_est225</t>
  </si>
  <si>
    <t>T1_est226</t>
  </si>
  <si>
    <t>T1_est227</t>
  </si>
  <si>
    <t>T1_est228</t>
  </si>
  <si>
    <t>T1_est229</t>
  </si>
  <si>
    <t>T1_est230</t>
  </si>
  <si>
    <t>T1_est231</t>
  </si>
  <si>
    <t>T1_est232</t>
  </si>
  <si>
    <t>T1_est233</t>
  </si>
  <si>
    <t>T1_est234</t>
  </si>
  <si>
    <t>T1_est235</t>
  </si>
  <si>
    <t>T1_est236</t>
  </si>
  <si>
    <t>T1_est237</t>
  </si>
  <si>
    <t>T1_est238</t>
  </si>
  <si>
    <t>T1_est239</t>
  </si>
  <si>
    <t>T1_est240</t>
  </si>
  <si>
    <t>T1_est241</t>
  </si>
  <si>
    <t>T1_est242</t>
  </si>
  <si>
    <t>T1_est243</t>
  </si>
  <si>
    <t>T1_est244</t>
  </si>
  <si>
    <t>T1_est245</t>
  </si>
  <si>
    <t>T1_est246</t>
  </si>
  <si>
    <t>T1_est247</t>
  </si>
  <si>
    <t>T1_est248</t>
  </si>
  <si>
    <t>T1_est249</t>
  </si>
  <si>
    <t>White alone, non-Hispanic</t>
  </si>
  <si>
    <t>Black or African-American alone, non-Hispanic</t>
  </si>
  <si>
    <t>Asian alone, non-Hispanic</t>
  </si>
  <si>
    <t>American Indian or Alaska Native alone, non-Hispanic</t>
  </si>
  <si>
    <t>Pacific Islander alone, non-Hispanic</t>
  </si>
  <si>
    <t>Hispanic, any race</t>
  </si>
  <si>
    <t>T9_est1</t>
  </si>
  <si>
    <t>T9_est2</t>
  </si>
  <si>
    <t>T9_est3</t>
  </si>
  <si>
    <t>T9_est4</t>
  </si>
  <si>
    <t>T9_est5</t>
  </si>
  <si>
    <t>T9_est6</t>
  </si>
  <si>
    <t>T9_est7</t>
  </si>
  <si>
    <t>T9_est8</t>
  </si>
  <si>
    <t>T9_est9</t>
  </si>
  <si>
    <t>T9_est10</t>
  </si>
  <si>
    <t>T9_est11</t>
  </si>
  <si>
    <t>T9_est12</t>
  </si>
  <si>
    <t>T9_est13</t>
  </si>
  <si>
    <t>T9_est14</t>
  </si>
  <si>
    <t>T9_est15</t>
  </si>
  <si>
    <t>T9_est16</t>
  </si>
  <si>
    <t>T9_est17</t>
  </si>
  <si>
    <t>T9_est18</t>
  </si>
  <si>
    <t>T9_est19</t>
  </si>
  <si>
    <t>T9_est20</t>
  </si>
  <si>
    <t>T9_est21</t>
  </si>
  <si>
    <t>T9_est22</t>
  </si>
  <si>
    <t>T9_est23</t>
  </si>
  <si>
    <t>T9_est24</t>
  </si>
  <si>
    <t>T9_est25</t>
  </si>
  <si>
    <t>T9_est26</t>
  </si>
  <si>
    <t>T9_est27</t>
  </si>
  <si>
    <t>T9_est28</t>
  </si>
  <si>
    <t>T9_est29</t>
  </si>
  <si>
    <t>T9_est30</t>
  </si>
  <si>
    <t>T9_est31</t>
  </si>
  <si>
    <t>T9_est32</t>
  </si>
  <si>
    <t>T9_est33</t>
  </si>
  <si>
    <t>T9_est34</t>
  </si>
  <si>
    <t>T9_est35</t>
  </si>
  <si>
    <t>T9_est36</t>
  </si>
  <si>
    <t>T9_est37</t>
  </si>
  <si>
    <t>T9_est38</t>
  </si>
  <si>
    <t>T9_est39</t>
  </si>
  <si>
    <t>T9_est40</t>
  </si>
  <si>
    <t>T9_est41</t>
  </si>
  <si>
    <t>T9_est42</t>
  </si>
  <si>
    <t>T9_est43</t>
  </si>
  <si>
    <t>T9_est44</t>
  </si>
  <si>
    <t>T9_est45</t>
  </si>
  <si>
    <t>T9_est46</t>
  </si>
  <si>
    <t>T9_est47</t>
  </si>
  <si>
    <t>T9_est48</t>
  </si>
  <si>
    <t>T9_est49</t>
  </si>
  <si>
    <t>T9_est50</t>
  </si>
  <si>
    <t>T9_est51</t>
  </si>
  <si>
    <t>T9_est52</t>
  </si>
  <si>
    <t>T9_est53</t>
  </si>
  <si>
    <t>T9_est54</t>
  </si>
  <si>
    <t>T9_est55</t>
  </si>
  <si>
    <t>T9_est56</t>
  </si>
  <si>
    <t>T9_est57</t>
  </si>
  <si>
    <t>T9_est58</t>
  </si>
  <si>
    <t>T9_est59</t>
  </si>
  <si>
    <t>T9_est60</t>
  </si>
  <si>
    <t>T9_est61</t>
  </si>
  <si>
    <t>T9_est62</t>
  </si>
  <si>
    <t>T9_est63</t>
  </si>
  <si>
    <t>T9_est64</t>
  </si>
  <si>
    <t>T9_est65</t>
  </si>
  <si>
    <t>T9_est66</t>
  </si>
  <si>
    <t>T9_est67</t>
  </si>
  <si>
    <t>T9_est68</t>
  </si>
  <si>
    <t>T9_est69</t>
  </si>
  <si>
    <t>T9_est70</t>
  </si>
  <si>
    <t>T9_est71</t>
  </si>
  <si>
    <t>T9_est72</t>
  </si>
  <si>
    <t>T9_est73</t>
  </si>
  <si>
    <t>T9_moe4</t>
  </si>
  <si>
    <t>T9_moe5</t>
  </si>
  <si>
    <t>T9_moe6</t>
  </si>
  <si>
    <t>T9_moe7</t>
  </si>
  <si>
    <t>T9_moe9</t>
  </si>
  <si>
    <t>T9_moe10</t>
  </si>
  <si>
    <t>T9_moe11</t>
  </si>
  <si>
    <t>T9_moe12</t>
  </si>
  <si>
    <t>T9_moe14</t>
  </si>
  <si>
    <t>T9_moe15</t>
  </si>
  <si>
    <t>T9_moe16</t>
  </si>
  <si>
    <t>T9_moe17</t>
  </si>
  <si>
    <t>T9_moe19</t>
  </si>
  <si>
    <t>T9_moe20</t>
  </si>
  <si>
    <t>T9_moe21</t>
  </si>
  <si>
    <t>T9_moe22</t>
  </si>
  <si>
    <t>T9_moe24</t>
  </si>
  <si>
    <t>T9_moe25</t>
  </si>
  <si>
    <t>T9_moe26</t>
  </si>
  <si>
    <t>T9_moe27</t>
  </si>
  <si>
    <t>T9_moe29</t>
  </si>
  <si>
    <t>T9_moe30</t>
  </si>
  <si>
    <t>T9_moe31</t>
  </si>
  <si>
    <t>T9_moe32</t>
  </si>
  <si>
    <t>T9_moe34</t>
  </si>
  <si>
    <t>T9_moe35</t>
  </si>
  <si>
    <t>T9_moe36</t>
  </si>
  <si>
    <t>T9_moe37</t>
  </si>
  <si>
    <t>T9_moe40</t>
  </si>
  <si>
    <t>T9_moe41</t>
  </si>
  <si>
    <t>T9_moe42</t>
  </si>
  <si>
    <t>T9_moe43</t>
  </si>
  <si>
    <t>T9_moe45</t>
  </si>
  <si>
    <t>T9_moe46</t>
  </si>
  <si>
    <t>T9_moe47</t>
  </si>
  <si>
    <t>T9_moe48</t>
  </si>
  <si>
    <t>T9_moe50</t>
  </si>
  <si>
    <t>T9_moe51</t>
  </si>
  <si>
    <t>T9_moe52</t>
  </si>
  <si>
    <t>T9_moe53</t>
  </si>
  <si>
    <t>T9_moe55</t>
  </si>
  <si>
    <t>T9_moe56</t>
  </si>
  <si>
    <t>T9_moe57</t>
  </si>
  <si>
    <t>T9_moe58</t>
  </si>
  <si>
    <t>T9_moe60</t>
  </si>
  <si>
    <t>T9_moe61</t>
  </si>
  <si>
    <t>T9_moe62</t>
  </si>
  <si>
    <t>T9_moe63</t>
  </si>
  <si>
    <t>T9_moe65</t>
  </si>
  <si>
    <t>T9_moe66</t>
  </si>
  <si>
    <t>T9_moe67</t>
  </si>
  <si>
    <t>T9_moe68</t>
  </si>
  <si>
    <t>T9_moe70</t>
  </si>
  <si>
    <t>T9_moe71</t>
  </si>
  <si>
    <t>T9_moe72</t>
  </si>
  <si>
    <t>T9_moe73</t>
  </si>
  <si>
    <t>Total Cost-Burdened</t>
  </si>
  <si>
    <t>Total Not Cost-Burdened</t>
  </si>
  <si>
    <t>05000US53001</t>
  </si>
  <si>
    <t>05000US53003</t>
  </si>
  <si>
    <t>05000US53005</t>
  </si>
  <si>
    <t>05000US53007</t>
  </si>
  <si>
    <t>05000US53009</t>
  </si>
  <si>
    <t>05000US53011</t>
  </si>
  <si>
    <t>05000US53013</t>
  </si>
  <si>
    <t>05000US53015</t>
  </si>
  <si>
    <t>05000US53017</t>
  </si>
  <si>
    <t>05000US53019</t>
  </si>
  <si>
    <t>05000US53021</t>
  </si>
  <si>
    <t>05000US53023</t>
  </si>
  <si>
    <t>05000US53025</t>
  </si>
  <si>
    <t>05000US53027</t>
  </si>
  <si>
    <t>05000US53029</t>
  </si>
  <si>
    <t>05000US53031</t>
  </si>
  <si>
    <t>05000US53033</t>
  </si>
  <si>
    <t>05000US53035</t>
  </si>
  <si>
    <t>05000US53037</t>
  </si>
  <si>
    <t>05000US53039</t>
  </si>
  <si>
    <t>05000US53041</t>
  </si>
  <si>
    <t>05000US53043</t>
  </si>
  <si>
    <t>05000US53045</t>
  </si>
  <si>
    <t>05000US53047</t>
  </si>
  <si>
    <t>05000US53049</t>
  </si>
  <si>
    <t>05000US53051</t>
  </si>
  <si>
    <t>05000US53053</t>
  </si>
  <si>
    <t>05000US53055</t>
  </si>
  <si>
    <t>05000US53057</t>
  </si>
  <si>
    <t>05000US53059</t>
  </si>
  <si>
    <t>05000US53061</t>
  </si>
  <si>
    <t>05000US53063</t>
  </si>
  <si>
    <t>05000US53065</t>
  </si>
  <si>
    <t>05000US53067</t>
  </si>
  <si>
    <t>05000US53069</t>
  </si>
  <si>
    <t>05000US53071</t>
  </si>
  <si>
    <t>05000US53073</t>
  </si>
  <si>
    <t>05000US53075</t>
  </si>
  <si>
    <t>05000US53077</t>
  </si>
  <si>
    <t>Very-Low Income (30-50% AMI)</t>
  </si>
  <si>
    <t>Extremely-Low Income (&lt;30% AMI)</t>
  </si>
  <si>
    <t/>
  </si>
  <si>
    <t>Value less than or equal to VHUD50</t>
  </si>
  <si>
    <t>Value greater than VHUD50 and less than or equal to VHUD80</t>
  </si>
  <si>
    <t>Value greater than VHUD80 and less than or equal to VHUD100</t>
  </si>
  <si>
    <t>Value greater than VHUD100</t>
  </si>
  <si>
    <t>T14B_est3</t>
  </si>
  <si>
    <t>T14B_est4</t>
  </si>
  <si>
    <t>T14B_est8</t>
  </si>
  <si>
    <t>T14B_est12</t>
  </si>
  <si>
    <t>T14B_est16</t>
  </si>
  <si>
    <t>Washington Office of Financial Management, 2022</t>
  </si>
  <si>
    <t>Housing</t>
  </si>
  <si>
    <t>US Census Bureau Input:</t>
  </si>
  <si>
    <t>Download Date</t>
  </si>
  <si>
    <t>Worksheet</t>
  </si>
  <si>
    <t>US Census Bureau, 2016-2020 American Community Survey 5-Year Estimates</t>
  </si>
  <si>
    <t>US Census Bureau, 2011-2015 American Community Survey 5-Year Estimates</t>
  </si>
  <si>
    <t>Table Name(s)</t>
  </si>
  <si>
    <t>*****</t>
  </si>
  <si>
    <t>0400000US53</t>
  </si>
  <si>
    <t>Label</t>
  </si>
  <si>
    <t>1600000US5302025</t>
  </si>
  <si>
    <t>Anatone CDP, Washington</t>
  </si>
  <si>
    <t>1600000US5304825</t>
  </si>
  <si>
    <t>Beacon Hill CDP, Washington</t>
  </si>
  <si>
    <t>1600000US5305770</t>
  </si>
  <si>
    <t>Beverly CDP, Washington</t>
  </si>
  <si>
    <t>1600000US5307450</t>
  </si>
  <si>
    <t>Bow CDP, Washington</t>
  </si>
  <si>
    <t>1600000US5315010</t>
  </si>
  <si>
    <t>Cougar CDP, Washington</t>
  </si>
  <si>
    <t>1600000US5315603</t>
  </si>
  <si>
    <t>Crescent Bar CDP, Washington</t>
  </si>
  <si>
    <t>1600000US5322115</t>
  </si>
  <si>
    <t>Erlands Point CDP, Washington</t>
  </si>
  <si>
    <t>1600000US5336010</t>
  </si>
  <si>
    <t>Kitsap Lake CDP, Washington</t>
  </si>
  <si>
    <t>Krupp (Marlin) town, Washington</t>
  </si>
  <si>
    <t>1600000US5339230</t>
  </si>
  <si>
    <t>Lexington CDP, Washington</t>
  </si>
  <si>
    <t>1600000US5343552</t>
  </si>
  <si>
    <t>Marine View CDP, Washington</t>
  </si>
  <si>
    <t>1600000US5350675</t>
  </si>
  <si>
    <t>Ocosta CDP, Washington</t>
  </si>
  <si>
    <t>1600000US5353660</t>
  </si>
  <si>
    <t>Pataha CDP, Washington</t>
  </si>
  <si>
    <t>1600000US5358768</t>
  </si>
  <si>
    <t>Riverpoint CDP, Washington</t>
  </si>
  <si>
    <t>1600000US5359075</t>
  </si>
  <si>
    <t>Roche Harbor CDP, Washington</t>
  </si>
  <si>
    <t>1600000US5361925</t>
  </si>
  <si>
    <t>Schwana CDP, Washington</t>
  </si>
  <si>
    <t>1600000US5368460</t>
  </si>
  <si>
    <t>Suncrest CDP, Washington</t>
  </si>
  <si>
    <t>1600000US5368557</t>
  </si>
  <si>
    <t>Sunland Estates CDP, Washington</t>
  </si>
  <si>
    <t>1600000US5370543</t>
  </si>
  <si>
    <t>Tehaleh CDP, Washington</t>
  </si>
  <si>
    <t>1600000US5378050</t>
  </si>
  <si>
    <t>Wheeler CDP, Washington</t>
  </si>
  <si>
    <t>Topic</t>
  </si>
  <si>
    <t>GEOID</t>
  </si>
  <si>
    <t>Data coding</t>
  </si>
  <si>
    <t>DP05_0083M</t>
  </si>
  <si>
    <t>DP05_0083E</t>
  </si>
  <si>
    <t>DP05_0082M</t>
  </si>
  <si>
    <t>DP05_0082E</t>
  </si>
  <si>
    <t>DP05_0081M</t>
  </si>
  <si>
    <t>DP05_0081E</t>
  </si>
  <si>
    <t>DP05_0080M</t>
  </si>
  <si>
    <t>DP05_0080E</t>
  </si>
  <si>
    <t>DP05_0079M</t>
  </si>
  <si>
    <t>DP05_0079E</t>
  </si>
  <si>
    <t>DP05_0078M</t>
  </si>
  <si>
    <t>DP05_0078E</t>
  </si>
  <si>
    <t>DP05_0077M</t>
  </si>
  <si>
    <t>DP05_0077E</t>
  </si>
  <si>
    <t>DP05_0076M</t>
  </si>
  <si>
    <t>DP05_0076E</t>
  </si>
  <si>
    <t>DP05_0075M</t>
  </si>
  <si>
    <t>DP05_0075E</t>
  </si>
  <si>
    <t>DP05_0074M</t>
  </si>
  <si>
    <t>DP05_0074E</t>
  </si>
  <si>
    <t>DP05_0073M</t>
  </si>
  <si>
    <t>DP05_0073E</t>
  </si>
  <si>
    <t>DP05_0072M</t>
  </si>
  <si>
    <t>DP05_0072E</t>
  </si>
  <si>
    <t>DP05_0071M</t>
  </si>
  <si>
    <t>DP05_0071E</t>
  </si>
  <si>
    <t>DP05_0066M</t>
  </si>
  <si>
    <t>DP05_0066E</t>
  </si>
  <si>
    <t>DP05_0033M</t>
  </si>
  <si>
    <t>DP05_0033E</t>
  </si>
  <si>
    <t>DP05_0028M</t>
  </si>
  <si>
    <t>DP05_0028E</t>
  </si>
  <si>
    <t>US HUD Comprehensive Housing Affordability Strategy (CHAS) data, 2015–2019</t>
  </si>
  <si>
    <t>US HUD Comprehensive Housing Affordability Strategy (CHAS) data, 2010–2014</t>
  </si>
  <si>
    <t>ACS DP05</t>
  </si>
  <si>
    <t>Race, etc.</t>
  </si>
  <si>
    <t>ACS DP05 (previous)</t>
  </si>
  <si>
    <t>Sources used in project materials</t>
  </si>
  <si>
    <t>Data input tables</t>
  </si>
  <si>
    <t>Drawn from US Census codes, used for querying data.</t>
  </si>
  <si>
    <t>https://data.census.gov/cedsci/table</t>
  </si>
  <si>
    <t>Processing</t>
  </si>
  <si>
    <t>General</t>
  </si>
  <si>
    <t>CHAS Table 1 (place)</t>
  </si>
  <si>
    <t>CHAS Table 1 (county)</t>
  </si>
  <si>
    <t>CHAS_Table1_place</t>
  </si>
  <si>
    <t>CHAS_Table1_county</t>
  </si>
  <si>
    <t>CHAS Table set (2019)</t>
  </si>
  <si>
    <t>CHAS Table set (2014)</t>
  </si>
  <si>
    <t xml:space="preserve">  Counties</t>
  </si>
  <si>
    <t xml:space="preserve">  Places</t>
  </si>
  <si>
    <t>https://www.huduser.gov/portal/datasets/cp/2015thru2019-050-csv.zip</t>
  </si>
  <si>
    <t>https://www.huduser.gov/portal/datasets/cp/2015thru2019-160-csv.zip</t>
  </si>
  <si>
    <t>Structure built in 1939 or earlier</t>
  </si>
  <si>
    <t>Structure built between 1940 and 1959</t>
  </si>
  <si>
    <t>Structure built between 1960 and 1979</t>
  </si>
  <si>
    <t>Structure built between 1980 and 1999</t>
  </si>
  <si>
    <t>Structure built in 2000 or later</t>
  </si>
  <si>
    <t>Year Structure Built (5)</t>
  </si>
  <si>
    <t xml:space="preserve">Structure built in 1939 or earlier </t>
  </si>
  <si>
    <t>Structure built between 1940 and 1979</t>
  </si>
  <si>
    <t>Structure built in 1980 or later</t>
  </si>
  <si>
    <t>Year Structure Built (3)</t>
  </si>
  <si>
    <t>Other (mobile homes, etc)</t>
  </si>
  <si>
    <t>Units in Structure (4)</t>
  </si>
  <si>
    <t xml:space="preserve">Tenure (2) </t>
  </si>
  <si>
    <t>Has complete plumbing and kitchen facilities</t>
  </si>
  <si>
    <t>Lacks complete plumbing or kitchen facilities</t>
  </si>
  <si>
    <t>Substandard Housing (2)</t>
  </si>
  <si>
    <t xml:space="preserve">Has none of the 4 severe housing problems OR Cost burden cannot be computed, none of the above severe housing problems </t>
  </si>
  <si>
    <t>Has 1 or more of the 4 severe housing unit problems</t>
  </si>
  <si>
    <t>Renter Affordability (4)</t>
  </si>
  <si>
    <t>Other (including multiple races, non-Hispanic)</t>
  </si>
  <si>
    <t>Race (7) [Defined by race of Householder]</t>
  </si>
  <si>
    <t>Race (6) [Defined by race of Householder]</t>
  </si>
  <si>
    <t>Household contains no children age 6 or younger</t>
  </si>
  <si>
    <t>Household contains 1 or more children age 6 or younger</t>
  </si>
  <si>
    <t>Presence of Children (2)</t>
  </si>
  <si>
    <t>Owner Affordability (4)</t>
  </si>
  <si>
    <t>1.51 or more persons per room</t>
  </si>
  <si>
    <t>1.01 to 1.50 persons per room</t>
  </si>
  <si>
    <t>1 or fewer persons per room</t>
  </si>
  <si>
    <t>Overcrowding (3)</t>
  </si>
  <si>
    <t>No housing unit problems</t>
  </si>
  <si>
    <t>Cost burden cannot be computed, none of the above problems</t>
  </si>
  <si>
    <t>Housing cost burden 30.1% to 50%, none of the needs above</t>
  </si>
  <si>
    <t>Housing cost burden over 50%, none of the needs above</t>
  </si>
  <si>
    <t>With 1.01 to 1.50 persons per room, none of the needs above</t>
  </si>
  <si>
    <t>With 1.51 or more persons per room, none of the needs above</t>
  </si>
  <si>
    <t>Housing Unit Problem Severity (7)</t>
  </si>
  <si>
    <t>Has none of the 4 housing problems</t>
  </si>
  <si>
    <t>Has 1 or more of the 4 housing unit problems</t>
  </si>
  <si>
    <t>Has none of the 4 housing problems OR Cost burden cannot be computed, none of the other 3 housing problems</t>
  </si>
  <si>
    <t>Cost burden not computed (no/negative income)</t>
  </si>
  <si>
    <t>Cost burden is greater than 50%</t>
  </si>
  <si>
    <t>Cost burden is greater than 30%, less than or equal to 50%</t>
  </si>
  <si>
    <t>Cost burden is less than or equal to 30%</t>
  </si>
  <si>
    <t>Housing Cost Burden (4)</t>
  </si>
  <si>
    <t>Housing Cost Burden (3)</t>
  </si>
  <si>
    <t>Other nonfamily households</t>
  </si>
  <si>
    <t>Elderly nonfamily households (1 or 2 person nonfamily households with either person 62 years or over)</t>
  </si>
  <si>
    <t>Large family households (5 or more persons)</t>
  </si>
  <si>
    <t>Small family household (2 persons, neither person 62 years or over, or 3 or 4 persons)</t>
  </si>
  <si>
    <t>Elderly family households (household contains 2 persons, with either or both age 62 or over)</t>
  </si>
  <si>
    <t>Household Type (5)</t>
  </si>
  <si>
    <t>Other household</t>
  </si>
  <si>
    <t>Two parent family household</t>
  </si>
  <si>
    <t>Single parent family household</t>
  </si>
  <si>
    <t>Household Type (3)</t>
  </si>
  <si>
    <t>5 or more persons</t>
  </si>
  <si>
    <t>4 or fewer persons</t>
  </si>
  <si>
    <t>Household Size (2)</t>
  </si>
  <si>
    <t>Household income is greater than 140% of HAMFI</t>
  </si>
  <si>
    <t>Household income is greater than 120% but less than or equal to 140% of HAMFI</t>
  </si>
  <si>
    <t>Household income is greater than 115% but less than or equal to 120% of HAMFI</t>
  </si>
  <si>
    <t>Household income is greater than 100% but less than or equal to 115% of HAMFI</t>
  </si>
  <si>
    <t>Household income is greater than 95% but less than or equal to 100% of HAMFI</t>
  </si>
  <si>
    <t>Household income is greater than 80% but less than or equal to 95% of HAMFI</t>
  </si>
  <si>
    <t>Household income is greater than 65% but less than or equal to 80% of HAMFI</t>
  </si>
  <si>
    <t>Household income is greater than 60% but less than or equal to 65% of HAMFI</t>
  </si>
  <si>
    <t>Household income is greater than 50% but less than or equal to 60% of HAMFI</t>
  </si>
  <si>
    <t>Household income is greater than 40% but less than or equal to 50% of HAMFI</t>
  </si>
  <si>
    <t>Household income is greater than 30% but less than or equal to 40% of HAMFI</t>
  </si>
  <si>
    <t>Household income is greater than 20% but less than or equal to 30% of HAMFI</t>
  </si>
  <si>
    <t>Household income is less than or equal to 20% of HUD area median family income</t>
  </si>
  <si>
    <t>Household Income (13)</t>
  </si>
  <si>
    <t>Household income is greater than 100% of HAMFI</t>
  </si>
  <si>
    <t>Household income is greater than 80% but less than or equal to 100% of HAMFI</t>
  </si>
  <si>
    <t>Household income is greater than 50% but less than or equal to 80% of HAMFI</t>
  </si>
  <si>
    <t>Household income is greater than 30% but less than or equal to 50% of HAMFI</t>
  </si>
  <si>
    <t>Household income is less than or equal to 30% of HUD area median family income</t>
  </si>
  <si>
    <t>Household Income (5)</t>
  </si>
  <si>
    <t>Household income is greater than 120% of HAMFI</t>
  </si>
  <si>
    <t>Household income is greater than 80% but less than or equal to 120% of HAMFI</t>
  </si>
  <si>
    <t>Household income is less than or equal to 50% of HUD area median family income</t>
  </si>
  <si>
    <t>Household Income (4b)</t>
  </si>
  <si>
    <t>Household income is greater than 80% of HAMFI</t>
  </si>
  <si>
    <t>Household Income (4)</t>
  </si>
  <si>
    <t>Nonfamily household</t>
  </si>
  <si>
    <t>Multi-family household</t>
  </si>
  <si>
    <t>1 family household</t>
  </si>
  <si>
    <t>Family Status (3)</t>
  </si>
  <si>
    <t>Household contains no one age 62+ (Non-elderly household)</t>
  </si>
  <si>
    <t>Household contains at least 1 person age 75+ (Extra-elderly household)</t>
  </si>
  <si>
    <t>Household contains at least 1 person age 62-74 but no one age 75+ (Elderly household)</t>
  </si>
  <si>
    <t>Elderly Status (3)</t>
  </si>
  <si>
    <t>Household member has none of the above limitations</t>
  </si>
  <si>
    <t>Household member has a self-care or independent living limitation</t>
  </si>
  <si>
    <t>Household member has a cognitive limitation</t>
  </si>
  <si>
    <t>Household member has an ambulatory limitation</t>
  </si>
  <si>
    <t>Household member has a hearing or vision impairment</t>
  </si>
  <si>
    <t>Disability Status (5)</t>
  </si>
  <si>
    <t>3 or more bedrooms</t>
  </si>
  <si>
    <t>2 bedrooms</t>
  </si>
  <si>
    <t>1 or fewer bedrooms</t>
  </si>
  <si>
    <t>Bedrooms (3)</t>
  </si>
  <si>
    <r>
      <t xml:space="preserve">Housing Unit Problems (2)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</si>
  <si>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r>
      <t xml:space="preserve">Housing Unit Problems (3)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</si>
  <si>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r>
      <t xml:space="preserve">Severe Housing Unit Problems (2) </t>
    </r>
    <r>
      <rPr>
        <sz val="10"/>
        <rFont val="Arial"/>
        <family val="2"/>
        <scheme val="major"/>
      </rPr>
      <t>[Severe housing problems: lacks complete kitchen facilities, lacks complete plumbing facilities, severely overcrowded (a unit with more than 1.5 occupant per room), severely cost burdened (a unit where monthly housing cost as a % of hhld income exceeds 50%)]</t>
    </r>
  </si>
  <si>
    <t>https://www.huduser.gov/portal/datasets/cp/2010thru2014-050-csv.zip</t>
  </si>
  <si>
    <t>https://www.huduser.gov/portal/datasets/cp/2010thru2014-160-csv.zip</t>
  </si>
  <si>
    <t>CHAS Table 8 (place)</t>
  </si>
  <si>
    <t>CHAS Table 8 (county)</t>
  </si>
  <si>
    <t>CHAS_Table8_place</t>
  </si>
  <si>
    <t>CHAS_Table8_county</t>
  </si>
  <si>
    <t>CHAS Table 9 (place)</t>
  </si>
  <si>
    <t>CHAS Table 9 (county)</t>
  </si>
  <si>
    <t>CHAS_Table9_place</t>
  </si>
  <si>
    <t>CHAS_Table9_county</t>
  </si>
  <si>
    <t>2019 CHAS, WA counties only - Tenure (2) by Housing Unit Problems (2) by Household Income (5) by Race (6)</t>
  </si>
  <si>
    <t>2019 CHAS, WA places only - Tenure (2) by Housing Unit Problems (2) by Household Income (5) by Race (6).</t>
  </si>
  <si>
    <t>2019 CHAS, WA places only - Tenure (2) by Household Income (5) by Housing Cost Burden (4) by Substandard Housing (2)</t>
  </si>
  <si>
    <t>2019 CHAS, WA counties only - Tenure (2) by Household Income (5) by Housing Cost Burden (4) by Substandard Housing (2)</t>
  </si>
  <si>
    <t>2019 CHAS, WA places only - Tenure (2) by Race (7) by Housing Cost Burden (4)</t>
  </si>
  <si>
    <t>2019 CHAS, WA counties only - Tenure (2) by Race (7) by Housing Cost Burden (4)</t>
  </si>
  <si>
    <t>CHAS Table 14B (place)</t>
  </si>
  <si>
    <t>CHAS Table 15C (place)</t>
  </si>
  <si>
    <t>2019 CHAS, WA places only -  Substandard Housing (2) by Renter Affordability (4) by Bedrooms (3)</t>
  </si>
  <si>
    <t>2019 CHAS, WA places only -  Substandard Housing (2) by Renter Affordability (4) by Household Income (5) Bedrooms (3)</t>
  </si>
  <si>
    <t>CHAS_Table14B_place</t>
  </si>
  <si>
    <t>CHAS_Table15C_place</t>
  </si>
  <si>
    <t>CHAS Table 14B (county)</t>
  </si>
  <si>
    <t>CHAS_Table14B_county</t>
  </si>
  <si>
    <t>CHAS Table 15C (county)</t>
  </si>
  <si>
    <t>CHAS_Table15C_county</t>
  </si>
  <si>
    <t>2019 CHAS, WA counties only -  Substandard Housing (2) by Renter Affordability (4) by Bedrooms (3)</t>
  </si>
  <si>
    <t>2019 CHAS, WA counties only -  Substandard Housing (2) by Renter Affordability (4) by Household Income (5) Bedrooms (3)</t>
  </si>
  <si>
    <t>Data Link</t>
  </si>
  <si>
    <t>HUD CHAS</t>
  </si>
  <si>
    <t>American Community Survey data tables (5-year)</t>
  </si>
  <si>
    <t>2020 ACS, includes all places and counties. Descriptions in line 2 removed.</t>
  </si>
  <si>
    <t>2015 ACS, includes all places and counties. Descriptions in line 2 removed.</t>
  </si>
  <si>
    <t>Income</t>
  </si>
  <si>
    <t>ACS_DP05</t>
  </si>
  <si>
    <t>ACS_DP05_previous</t>
  </si>
  <si>
    <t>Two or more races</t>
  </si>
  <si>
    <t>Asian</t>
  </si>
  <si>
    <t>TOTAL</t>
  </si>
  <si>
    <t>Renter Households</t>
  </si>
  <si>
    <t>Owner Households</t>
  </si>
  <si>
    <t>Labels</t>
  </si>
  <si>
    <t>INPUTS</t>
  </si>
  <si>
    <t>White</t>
  </si>
  <si>
    <t>Black or African American</t>
  </si>
  <si>
    <t>American Indian and Alaska Native</t>
  </si>
  <si>
    <t>Native Hawaiian and Other Pacific Islander</t>
  </si>
  <si>
    <t>GEO_ID_CHAS</t>
  </si>
  <si>
    <t xml:space="preserve">CHAS IDs: </t>
  </si>
  <si>
    <t>Census IDs</t>
  </si>
  <si>
    <t>Base Name</t>
  </si>
  <si>
    <t>Renter HH Income</t>
  </si>
  <si>
    <t>Rental Unit Affordability</t>
  </si>
  <si>
    <t>Offset:</t>
  </si>
  <si>
    <t>Change</t>
  </si>
  <si>
    <t>Census Places</t>
  </si>
  <si>
    <t>Census Counties</t>
  </si>
  <si>
    <t>OFM Cities</t>
  </si>
  <si>
    <t>OFM Counties</t>
  </si>
  <si>
    <t>WA_CDPs</t>
  </si>
  <si>
    <t>This is drawn from US Census codes, used for querying/matching data.</t>
  </si>
  <si>
    <t>WA_Counties</t>
  </si>
  <si>
    <t>WA_Cities_OFM</t>
  </si>
  <si>
    <t>This is drawn from OFM data, and is used for data input validation.</t>
  </si>
  <si>
    <t>WA_Counties_OFM</t>
  </si>
  <si>
    <t>(derived)</t>
  </si>
  <si>
    <t>Labels:</t>
  </si>
  <si>
    <t>Net change</t>
  </si>
  <si>
    <t>Racial Composition</t>
  </si>
  <si>
    <t>Rental Affordability of Housing Units</t>
  </si>
  <si>
    <t>Citation</t>
  </si>
  <si>
    <t>US Census Bureau, 2016-2020 American Community Survey 5-Year Estimates (Table DP05); Washington Department of Commerce, 2023</t>
  </si>
  <si>
    <t xml:space="preserve">Inputs </t>
  </si>
  <si>
    <t>City Selection</t>
  </si>
  <si>
    <t>County Selection</t>
  </si>
  <si>
    <t>Race or Ethnic Category</t>
  </si>
  <si>
    <t>Race and Hispanic Ethnicity</t>
  </si>
  <si>
    <t>Other Race</t>
  </si>
  <si>
    <t>MOE</t>
  </si>
  <si>
    <t>US Census Bureau, 2011-2015 American Community Survey 5-Year Estimates (Table DP05); Washington Department of Commerce, 2023</t>
  </si>
  <si>
    <t>Total Households</t>
  </si>
  <si>
    <t>US HUD, 2015-2019 Comprehensive Housing Affordability Strategy (CHAS) (Table 9)</t>
  </si>
  <si>
    <t>Source: US HUD, 2015-2019 Comprehensive Housing Affordability Strategy (CHAS) (Table 9); Washington Department of Commerce, 2023</t>
  </si>
  <si>
    <t>Source: US Census Bureau, 2011-2015 and 2016-2020 American Community Survey 5-Year Estimates (Table DP05); Washington Department of Commerce, 2023</t>
  </si>
  <si>
    <t>Source: US Census Bureau, 2016-2020 American Community Survey 5-Year Estimates (Table DP05); Washington Department of Commerce, 2023</t>
  </si>
  <si>
    <t>Reliability Flag</t>
  </si>
  <si>
    <t>CV</t>
  </si>
  <si>
    <t>CV threshold:</t>
  </si>
  <si>
    <t>2015 - 2019</t>
  </si>
  <si>
    <t>2010 - 2014</t>
  </si>
  <si>
    <t>Black</t>
  </si>
  <si>
    <t>American Indian or Alaska Native</t>
  </si>
  <si>
    <t>Pacific Islander</t>
  </si>
  <si>
    <t>Persons of color</t>
  </si>
  <si>
    <t>Other race</t>
  </si>
  <si>
    <t>Table Names:</t>
  </si>
  <si>
    <t>Greater than 100% of AMF</t>
  </si>
  <si>
    <t>CHAS_Table15Cprev_place</t>
  </si>
  <si>
    <t>CHAS_Table14Bprev_place</t>
  </si>
  <si>
    <t>PURPOSE</t>
  </si>
  <si>
    <t>INSTRUCTIONS FOR USE</t>
  </si>
  <si>
    <t>User Input</t>
  </si>
  <si>
    <t>Calculation</t>
  </si>
  <si>
    <t>Explanatory</t>
  </si>
  <si>
    <t>Estimate Name</t>
  </si>
  <si>
    <t>Output</t>
  </si>
  <si>
    <t>American Indian</t>
  </si>
  <si>
    <t>CHAS_Table_1_2010_2014</t>
  </si>
  <si>
    <t>OWNER</t>
  </si>
  <si>
    <t>RENTER</t>
  </si>
  <si>
    <t>Persons of Color</t>
  </si>
  <si>
    <t xml:space="preserve">Owner </t>
  </si>
  <si>
    <t>Sources: US HUD, 2015-2019 Comprehensive Housing Affordability Strategy (CHAS) (Table 8)</t>
  </si>
  <si>
    <t>Sources: US HUD, 2015-2019 Comprehensive Housing Affordability Strategy (CHAS) (Table 8) &amp; US HUD, 2015-2019 Comprehensive Housing Affordability Strategy (CHAS) (Table 15C)</t>
  </si>
  <si>
    <t>Sources: US HUD, 2015-2019 Comprehensive Housing Affordability Strategy (CHAS) (Table 15C) &amp; US HUD, 2015-2019 Comprehensive Housing Affordability Strategy (CHAS) (Table 14B)</t>
  </si>
  <si>
    <t>Sources: US HUD, 2015-2019 Comprehensive Housing Affordability Strategy (CHAS) (Table 15C) &amp; US HUD, 2015-2019 Comprehensive Housing Affordability Strategy (CHAS) (Table 14B) &amp; US HUD, 2010-2014 Comprehensive Housing Affordability Strategy (CHAS) (Table 15C) &amp; US HUD, 2010-2014 Comprehensive Housing Affordability Strategy (CHAS) (Table 14B)</t>
  </si>
  <si>
    <t>Inputs</t>
  </si>
  <si>
    <t xml:space="preserve">Sources: US HUD, 2015-2019 Comprehensive Housing Affordability Strategy (CHAS) (Table 1) &amp; US HUD, 2015-2019 Comprehensive Housing Affordability Strategy (CHAS) (Table 8) </t>
  </si>
  <si>
    <t>Percentage</t>
  </si>
  <si>
    <t>Number</t>
  </si>
  <si>
    <t>The source's name for the estimate. This is provided for transparency, quality control and validation.</t>
  </si>
  <si>
    <t>Text that does not impact the worksheet function, but provides explanation or wayfinding for the user.</t>
  </si>
  <si>
    <t>Cell requires user-specified input.</t>
  </si>
  <si>
    <t>Racial Subgroups</t>
  </si>
  <si>
    <t>RELIABILITY ANALYSIS</t>
  </si>
  <si>
    <t>CHAS_Table8_place[</t>
  </si>
  <si>
    <t>CHAS_Table15C_place[</t>
  </si>
  <si>
    <t>CHAS_Table8_county[</t>
  </si>
  <si>
    <t>CHAS_Table15C_county[</t>
  </si>
  <si>
    <r>
      <rPr>
        <b/>
        <u/>
        <sz val="11"/>
        <color theme="9"/>
        <rFont val="Arial"/>
        <family val="2"/>
        <scheme val="minor"/>
      </rPr>
      <t xml:space="preserve">CURRENT </t>
    </r>
    <r>
      <rPr>
        <b/>
        <sz val="11"/>
        <color theme="9"/>
        <rFont val="Arial"/>
        <family val="2"/>
        <scheme val="minor"/>
      </rPr>
      <t>HOUSEHOLD OCCUPYING UNIT BY AFFORDABILITY LEVEL</t>
    </r>
  </si>
  <si>
    <r>
      <rPr>
        <b/>
        <u/>
        <sz val="11"/>
        <color theme="9"/>
        <rFont val="Arial"/>
        <family val="2"/>
        <scheme val="minor"/>
      </rPr>
      <t xml:space="preserve">PREVIOUS </t>
    </r>
    <r>
      <rPr>
        <b/>
        <sz val="11"/>
        <color theme="9"/>
        <rFont val="Arial"/>
        <family val="2"/>
        <scheme val="minor"/>
      </rPr>
      <t>HOUSEHOLD OCCUPYING UNIT BY AFFORDABILITY LEVEL</t>
    </r>
  </si>
  <si>
    <t>Rental Units</t>
  </si>
  <si>
    <t>CHANGE IN HOUSEHOLDS AND UNITS BY AFFORDABILITY LEVEL</t>
  </si>
  <si>
    <t>Extremely Low-Income (≤30% AMI)</t>
  </si>
  <si>
    <t>Table Name:</t>
  </si>
  <si>
    <t>Sources: US HUD, 2015-2019 Comprehensive Housing Affordability Strategy (CHAS) (Table 1)</t>
  </si>
  <si>
    <t>CAUTION FLAG FOR SMALL POPULATIONS</t>
  </si>
  <si>
    <t>Total from Table 1</t>
  </si>
  <si>
    <t>Simplified Racial Groups</t>
  </si>
  <si>
    <t>Extremely Low-Income 
(≤30% AMI)</t>
  </si>
  <si>
    <t>Very Low-Income 
(30-50% AMI)</t>
  </si>
  <si>
    <t>Low-Income 
(50-80% AMI)</t>
  </si>
  <si>
    <t>Moderate Income 
(80-100% AMI)</t>
  </si>
  <si>
    <t>Above Median Income 
(&gt;100% AMI)</t>
  </si>
  <si>
    <t>Difference</t>
  </si>
  <si>
    <t>Total Owner Households</t>
  </si>
  <si>
    <t>Above Median Income 
(&gt;100%)</t>
  </si>
  <si>
    <t>Very Low-Income 
(30-50%)</t>
  </si>
  <si>
    <t>Low-Income 
(50-80%)</t>
  </si>
  <si>
    <t>Moderate Income 
(80-100%)</t>
  </si>
  <si>
    <t>Extremely Low-Income 
(≤30% MFI)</t>
  </si>
  <si>
    <t>Sources: US HUD, 2015-2019 Comprehensive Housing Affordability Strategy (CHAS) (Table 9)</t>
  </si>
  <si>
    <t>Reorganized for charting</t>
  </si>
  <si>
    <t>TOOLKIT ORGANIZATION</t>
  </si>
  <si>
    <t>EXPORTING</t>
  </si>
  <si>
    <t>RACIAL AND ETHNIC CATEGORIES</t>
  </si>
  <si>
    <t>AFFORDABILITY LEVELS</t>
  </si>
  <si>
    <t>Total Occupied Owner Units (T1est_2)</t>
  </si>
  <si>
    <t>Total Occupied Renter Units (T1est_126)</t>
  </si>
  <si>
    <t>Total Occupied Renter Units (T1est_75)</t>
  </si>
  <si>
    <t>Total Occupied Units (T1est_1)</t>
  </si>
  <si>
    <t>Hispanic or Latino (of any race)</t>
  </si>
  <si>
    <t xml:space="preserve"> </t>
  </si>
  <si>
    <t>Households of color</t>
  </si>
  <si>
    <t xml:space="preserve">Hispanic or Latino (of any race)
</t>
  </si>
  <si>
    <t>Households at income level</t>
  </si>
  <si>
    <t>Rental housing units affordable to income level</t>
  </si>
  <si>
    <t>Hispanic or Latino 
(of any race)</t>
  </si>
  <si>
    <t>US HUD, 2015-2019 Comprehensive Housing Affordability Strategy (CHAS) (Table 8)</t>
  </si>
  <si>
    <t>US HUD, 2015-2019 Comprehensive Housing Affordability Strategy (CHAS) (Table 1)</t>
  </si>
  <si>
    <t>US HUD, 2015-2019 Comprehensive Housing Affordability Strategy (CHAS) (Table 14B)</t>
  </si>
  <si>
    <t>US HUD, 2015-2019 Comprehensive Housing Affordability Strategy (CHAS) (Table 15C)</t>
  </si>
  <si>
    <t>Table of Contents</t>
  </si>
  <si>
    <t>Tables</t>
  </si>
  <si>
    <t>Table Names</t>
  </si>
  <si>
    <t>Cost Burden</t>
  </si>
  <si>
    <t>Charts</t>
  </si>
  <si>
    <t>Chart Names</t>
  </si>
  <si>
    <t>Analysis Page</t>
  </si>
  <si>
    <t>US HUD, 2015-2019 Comprehensive Housing Affordability Strategy (CHAS) (Table 1 - Table 18)</t>
  </si>
  <si>
    <t>US HUD, 2010-2014 Comprehensive Housing Affordability Strategy (CHAS) (Table 1 - Table 18)</t>
  </si>
  <si>
    <t>Other Race race</t>
  </si>
  <si>
    <t>Not Cost-Burdened</t>
  </si>
  <si>
    <t>INTRODUCTION AND PURPOSE</t>
  </si>
  <si>
    <t>Change in households at income level</t>
  </si>
  <si>
    <t>Change in rental housing units affordable to income level</t>
  </si>
  <si>
    <t>The retrieved estimate value. This formatting indicates which cells are actively linked to the source tables. These will be converted to the estimate value when finalizing the workbook for shipping to the jurisdictions.</t>
  </si>
  <si>
    <t>Moderate-Income (80%-100% AMI)</t>
  </si>
  <si>
    <t>Cell values are automatically generated based on user input cells.</t>
  </si>
  <si>
    <t>Greater than 100% of AMI</t>
  </si>
  <si>
    <t>Legend Formats</t>
  </si>
  <si>
    <t>SUMMED FROM BELOW</t>
  </si>
  <si>
    <t>ALPHABETIZED FOR CHARTS</t>
  </si>
  <si>
    <t>CONVERSION TO PERCENTAGES AND SUPPORESSING 0 VALUES FOR CHARTS</t>
  </si>
  <si>
    <t>COMPARISON OF UNITS TO HOUSEHOLDS AT AFFORDABILITY LEVEL</t>
  </si>
  <si>
    <t>Vacant Rental Units</t>
  </si>
  <si>
    <t>CHAS_Table14B_place[</t>
  </si>
  <si>
    <t>DISTRIBUTION OF HOUSEHOLDS TO HOUSING UNITS</t>
  </si>
  <si>
    <t>Extremely Low Income (&lt;30% AMI)</t>
  </si>
  <si>
    <t>Very Low Income (30-50% AMI)</t>
  </si>
  <si>
    <t>Low Income (50-80% AMI)</t>
  </si>
  <si>
    <t>Moderate Income and above (&gt;80% AMI)</t>
  </si>
  <si>
    <t>Moderate Income (80-100% AMI)</t>
  </si>
  <si>
    <t>Max/Min</t>
  </si>
  <si>
    <t>Offset</t>
  </si>
  <si>
    <t>Rental HH Income</t>
  </si>
  <si>
    <t>Renter HH</t>
  </si>
  <si>
    <t>Renter HH (2015)</t>
  </si>
  <si>
    <t>Rental Units (2015)</t>
  </si>
  <si>
    <t>Renter HH Change</t>
  </si>
  <si>
    <t>HH Unit Change</t>
  </si>
  <si>
    <t>difference</t>
  </si>
  <si>
    <t>Total by summing</t>
  </si>
  <si>
    <t>Total for published estimates</t>
  </si>
  <si>
    <t>Summed total</t>
  </si>
  <si>
    <t>Suppressed</t>
  </si>
  <si>
    <t>Not Reported</t>
  </si>
  <si>
    <t>* The category "Other (including multiple races, non-Hispanic)" is supporessed in source data(CHAS 2015-2019 Table 1)</t>
  </si>
  <si>
    <t>Legends</t>
  </si>
  <si>
    <t>"Other" and Not reported</t>
  </si>
  <si>
    <t>Percent Renter</t>
  </si>
  <si>
    <t>Percent Owner</t>
  </si>
  <si>
    <t>ALL HOUSEHOLDS</t>
  </si>
  <si>
    <t>All Occupied Housing Units</t>
  </si>
  <si>
    <t>Legend</t>
  </si>
  <si>
    <t>Sum of groups</t>
  </si>
  <si>
    <t>Not Reported*</t>
  </si>
  <si>
    <t>Households 
of Color</t>
  </si>
  <si>
    <t>PRINTING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</si>
</sst>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_(* #,##0_);_(* \(#,##0\);_(* &quot;-&quot;??_);_(@_)"/>
    <numFmt numFmtId="165" formatCode="\+#,##0;\-#,##0;&quot;-&quot;"/>
    <numFmt numFmtId="166" formatCode="&quot;   &quot;@"/>
  </numFmts>
  <fonts count="79">
    <font>
      <sz val="11"/>
      <color theme="1"/>
      <name val="Arial"/>
      <family val="2"/>
      <scheme val="minor"/>
    </font>
    <font>
      <sz val="11"/>
      <color theme="1"/>
      <name val="Arial"/>
      <family val="2"/>
      <scheme val="minor"/>
    </font>
    <font>
      <u/>
      <sz val="11"/>
      <color theme="10"/>
      <name val="Arial"/>
      <family val="2"/>
      <scheme val="minor"/>
    </font>
    <font>
      <sz val="8"/>
      <color theme="1"/>
      <name val="Arial"/>
      <family val="2"/>
    </font>
    <font>
      <b/>
      <sz val="11"/>
      <color theme="1"/>
      <name val="Arial"/>
      <family val="2"/>
      <scheme val="minor"/>
    </font>
    <font>
      <sz val="10"/>
      <name val="Arial"/>
      <family val="2"/>
    </font>
    <font>
      <sz val="8"/>
      <name val="Arial"/>
      <family val="2"/>
      <scheme val="minor"/>
    </font>
    <font>
      <sz val="11"/>
      <color theme="1"/>
      <name val="Arial"/>
      <family val="2"/>
      <scheme val="major"/>
    </font>
    <font>
      <sz val="16"/>
      <color theme="1"/>
      <name val="Arial"/>
      <family val="2"/>
      <scheme val="major"/>
    </font>
    <font>
      <i/>
      <sz val="11"/>
      <color theme="1"/>
      <name val="Arial"/>
      <family val="2"/>
      <scheme val="major"/>
    </font>
    <font>
      <b/>
      <sz val="16"/>
      <color theme="1"/>
      <name val="Arial"/>
      <family val="2"/>
      <scheme val="major"/>
    </font>
    <font>
      <sz val="18"/>
      <color theme="3"/>
      <name val="Arial"/>
      <family val="2"/>
      <scheme val="major"/>
    </font>
    <font>
      <b/>
      <sz val="11"/>
      <color theme="3"/>
      <name val="Arial"/>
      <family val="2"/>
      <scheme val="minor"/>
    </font>
    <font>
      <sz val="11"/>
      <color rgb="FF006100"/>
      <name val="Arial"/>
      <family val="2"/>
      <scheme val="minor"/>
    </font>
    <font>
      <sz val="11"/>
      <color rgb="FF9C0006"/>
      <name val="Arial"/>
      <family val="2"/>
      <scheme val="minor"/>
    </font>
    <font>
      <sz val="11"/>
      <color rgb="FF9C5700"/>
      <name val="Arial"/>
      <family val="2"/>
      <scheme val="minor"/>
    </font>
    <font>
      <b/>
      <sz val="11"/>
      <color rgb="FF3F3F3F"/>
      <name val="Arial"/>
      <family val="2"/>
      <scheme val="minor"/>
    </font>
    <font>
      <sz val="11"/>
      <color rgb="FFFA7D00"/>
      <name val="Arial"/>
      <family val="2"/>
      <scheme val="minor"/>
    </font>
    <font>
      <b/>
      <sz val="11"/>
      <color theme="0"/>
      <name val="Arial"/>
      <family val="2"/>
      <scheme val="minor"/>
    </font>
    <font>
      <sz val="11"/>
      <color rgb="FFFF0000"/>
      <name val="Arial"/>
      <family val="2"/>
      <scheme val="minor"/>
    </font>
    <font>
      <sz val="11"/>
      <color theme="0"/>
      <name val="Arial"/>
      <family val="2"/>
      <scheme val="minor"/>
    </font>
    <font>
      <b/>
      <sz val="11"/>
      <color theme="1"/>
      <name val="Arial"/>
      <family val="2"/>
      <scheme val="major"/>
    </font>
    <font>
      <sz val="11"/>
      <color rgb="FFFF0000"/>
      <name val="Arial"/>
      <family val="2"/>
      <scheme val="major"/>
    </font>
    <font>
      <sz val="8"/>
      <color rgb="FF9C0006"/>
      <name val="Arial"/>
      <family val="2"/>
    </font>
    <font>
      <b/>
      <sz val="8"/>
      <color theme="0"/>
      <name val="Arial"/>
      <family val="2"/>
    </font>
    <font>
      <i/>
      <sz val="8"/>
      <color rgb="FF7F7F7F"/>
      <name val="Arial"/>
      <family val="2"/>
    </font>
    <font>
      <sz val="8"/>
      <color theme="0"/>
      <name val="Arial"/>
      <family val="2"/>
    </font>
    <font>
      <b/>
      <sz val="10"/>
      <name val="Arial"/>
      <family val="2"/>
      <scheme val="major"/>
    </font>
    <font>
      <sz val="10"/>
      <name val="Arial"/>
      <family val="2"/>
      <scheme val="major"/>
    </font>
    <font>
      <sz val="10"/>
      <name val="Arial"/>
      <family val="2"/>
      <scheme val="minor"/>
    </font>
    <font>
      <sz val="10"/>
      <color theme="1"/>
      <name val="Arial"/>
      <family val="2"/>
      <scheme val="minor"/>
    </font>
    <font>
      <u/>
      <sz val="11"/>
      <color theme="10"/>
      <name val="Calibri"/>
      <family val="2"/>
    </font>
    <font>
      <sz val="11"/>
      <name val="Arial"/>
      <family val="2"/>
      <scheme val="minor"/>
    </font>
    <font>
      <sz val="11"/>
      <name val="Arial"/>
      <family val="2"/>
      <scheme val="major"/>
    </font>
    <font>
      <b/>
      <sz val="11"/>
      <name val="Arial"/>
      <family val="2"/>
      <scheme val="major"/>
    </font>
    <font>
      <i/>
      <sz val="11"/>
      <name val="Arial"/>
      <family val="2"/>
      <scheme val="major"/>
    </font>
    <font>
      <b/>
      <sz val="11"/>
      <name val="Arial"/>
      <family val="2"/>
      <scheme val="minor"/>
    </font>
    <font>
      <sz val="10"/>
      <color theme="1"/>
      <name val="Arial"/>
      <family val="2"/>
      <scheme val="major"/>
    </font>
    <font>
      <i/>
      <sz val="10"/>
      <color theme="1" tint="0.34998626667073579"/>
      <name val="Arial"/>
      <family val="2"/>
      <scheme val="minor"/>
    </font>
    <font>
      <u/>
      <sz val="11"/>
      <color theme="11"/>
      <name val="Arial"/>
      <family val="2"/>
      <scheme val="minor"/>
    </font>
    <font>
      <b/>
      <sz val="12"/>
      <color theme="0"/>
      <name val="Arial"/>
      <family val="2"/>
      <scheme val="minor"/>
    </font>
    <font>
      <sz val="11"/>
      <color rgb="FF3F3F3F"/>
      <name val="Arial"/>
      <family val="2"/>
      <scheme val="minor"/>
    </font>
    <font>
      <sz val="12"/>
      <color theme="9"/>
      <name val="Arial"/>
      <family val="2"/>
      <scheme val="minor"/>
    </font>
    <font>
      <b/>
      <sz val="22"/>
      <color theme="9" tint="-0.499984740745262"/>
      <name val="Arial"/>
      <family val="2"/>
      <scheme val="minor"/>
    </font>
    <font>
      <b/>
      <sz val="13"/>
      <color theme="9" tint="-0.499984740745262"/>
      <name val="Arial"/>
      <family val="2"/>
      <scheme val="minor"/>
    </font>
    <font>
      <b/>
      <sz val="10"/>
      <color theme="1"/>
      <name val="Arial"/>
      <family val="2"/>
      <scheme val="minor"/>
    </font>
    <font>
      <b/>
      <sz val="14"/>
      <color theme="9"/>
      <name val="Arial"/>
      <family val="2"/>
      <scheme val="minor"/>
    </font>
    <font>
      <b/>
      <sz val="11"/>
      <color theme="5"/>
      <name val="Arial"/>
      <family val="2"/>
      <scheme val="minor"/>
    </font>
    <font>
      <b/>
      <sz val="14"/>
      <color theme="8" tint="-0.24994659260841701"/>
      <name val="Arial"/>
      <family val="2"/>
      <scheme val="minor"/>
    </font>
    <font>
      <i/>
      <sz val="10"/>
      <color theme="2" tint="-0.499984740745262"/>
      <name val="Arial"/>
      <family val="2"/>
      <scheme val="minor"/>
    </font>
    <font>
      <b/>
      <u/>
      <sz val="11"/>
      <color theme="1"/>
      <name val="Arial"/>
      <family val="2"/>
      <scheme val="minor"/>
    </font>
    <font>
      <b/>
      <sz val="11"/>
      <color theme="9"/>
      <name val="Arial"/>
      <family val="2"/>
      <scheme val="minor"/>
    </font>
    <font>
      <b/>
      <u/>
      <sz val="11"/>
      <color theme="9"/>
      <name val="Arial"/>
      <family val="2"/>
      <scheme val="minor"/>
    </font>
    <font>
      <b/>
      <sz val="10"/>
      <color theme="1"/>
      <name val="Arial"/>
      <family val="2"/>
      <scheme val="major"/>
    </font>
    <font>
      <b/>
      <sz val="14"/>
      <color theme="1"/>
      <name val="Arial"/>
      <family val="2"/>
      <scheme val="major"/>
    </font>
    <font>
      <sz val="8"/>
      <color theme="1"/>
      <name val="Arial"/>
      <family val="2"/>
      <scheme val="major"/>
    </font>
    <font>
      <sz val="8"/>
      <name val="Arial"/>
      <family val="2"/>
      <scheme val="major"/>
    </font>
    <font>
      <b/>
      <sz val="9"/>
      <color theme="1"/>
      <name val="Arial"/>
      <family val="2"/>
      <scheme val="major"/>
    </font>
    <font>
      <b/>
      <sz val="11"/>
      <color theme="9"/>
      <name val="Arial"/>
      <family val="2"/>
      <scheme val="major"/>
    </font>
    <font>
      <b/>
      <sz val="12"/>
      <color theme="5"/>
      <name val="Arial"/>
      <family val="2"/>
      <scheme val="minor"/>
    </font>
    <font>
      <b/>
      <sz val="22"/>
      <color theme="9" tint="-0.499984740745262"/>
      <name val="Arial"/>
      <family val="2"/>
      <scheme val="major"/>
    </font>
    <font>
      <b/>
      <sz val="13"/>
      <color theme="9" tint="-0.499984740745262"/>
      <name val="Arial"/>
      <family val="2"/>
      <scheme val="major"/>
    </font>
    <font>
      <sz val="12"/>
      <color theme="9"/>
      <name val="Arial"/>
      <family val="2"/>
      <scheme val="major"/>
    </font>
    <font>
      <b/>
      <sz val="14"/>
      <color theme="8" tint="-0.24994659260841701"/>
      <name val="Arial"/>
      <family val="2"/>
      <scheme val="major"/>
    </font>
    <font>
      <i/>
      <sz val="11"/>
      <color rgb="FF7F7F7F"/>
      <name val="Arial"/>
      <family val="2"/>
      <scheme val="major"/>
    </font>
    <font>
      <sz val="11"/>
      <color rgb="FF3F3F3F"/>
      <name val="Arial"/>
      <family val="2"/>
      <scheme val="major"/>
    </font>
    <font>
      <b/>
      <sz val="9"/>
      <name val="Arial"/>
      <family val="2"/>
      <scheme val="major"/>
    </font>
    <font>
      <b/>
      <sz val="8"/>
      <name val="Arial"/>
      <family val="2"/>
      <scheme val="major"/>
    </font>
    <font>
      <b/>
      <sz val="11"/>
      <color theme="4"/>
      <name val="Arial"/>
      <family val="2"/>
      <scheme val="minor"/>
    </font>
    <font>
      <sz val="8"/>
      <color theme="1"/>
      <name val="Arial"/>
      <family val="2"/>
      <scheme val="minor"/>
    </font>
    <font>
      <i/>
      <sz val="10"/>
      <color rgb="FF7F7F7F"/>
      <name val="Arial"/>
      <family val="2"/>
      <scheme val="minor"/>
    </font>
    <font>
      <i/>
      <sz val="10"/>
      <color rgb="FF7F7F7F"/>
      <name val="Arial"/>
      <family val="2"/>
      <scheme val="major"/>
    </font>
    <font>
      <sz val="11"/>
      <color theme="1"/>
      <name val="Arial Body"/>
    </font>
    <font>
      <b/>
      <sz val="10"/>
      <color theme="8" tint="-0.24994659260841701"/>
      <name val="Arial"/>
      <family val="2"/>
      <scheme val="minor"/>
    </font>
    <font>
      <b/>
      <sz val="11"/>
      <color rgb="FF3F3F3F"/>
      <name val="Arial"/>
      <family val="2"/>
      <scheme val="major"/>
    </font>
    <font>
      <b/>
      <i/>
      <sz val="10"/>
      <color theme="1"/>
      <name val="Arial"/>
      <family val="2"/>
      <scheme val="major"/>
    </font>
    <font>
      <sz val="9"/>
      <color theme="1"/>
      <name val="Arial"/>
      <family val="2"/>
      <scheme val="major"/>
    </font>
    <font>
      <b/>
      <i/>
      <sz val="11"/>
      <color theme="1"/>
      <name val="Arial"/>
      <family val="2"/>
      <scheme val="major"/>
    </font>
    <font>
      <i/>
      <sz val="11"/>
      <color theme="1"/>
      <name val="Arial"/>
      <family val="2"/>
      <scheme val="minor"/>
    </font>
  </fonts>
  <fills count="55">
    <fill>
      <patternFill patternType="none"/>
    </fill>
    <fill>
      <patternFill patternType="gray125"/>
    </fill>
    <fill>
      <patternFill patternType="solid">
        <fgColor theme="5"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79998168889431442"/>
        <bgColor indexed="64"/>
      </patternFill>
    </fill>
    <fill>
      <patternFill patternType="solid">
        <fgColor theme="2" tint="0.79998168889431442"/>
        <bgColor indexed="64"/>
      </patternFill>
    </fill>
    <fill>
      <patternFill patternType="solid">
        <fgColor theme="9" tint="0.79998168889431442"/>
        <bgColor indexed="64"/>
      </patternFill>
    </fill>
    <fill>
      <patternFill patternType="solid">
        <fgColor theme="9"/>
        <bgColor indexed="64"/>
      </patternFill>
    </fill>
    <fill>
      <patternFill patternType="solid">
        <fgColor theme="1" tint="0.79998168889431442"/>
        <bgColor indexed="64"/>
      </patternFill>
    </fill>
    <fill>
      <patternFill patternType="solid">
        <fgColor theme="3" tint="0.59996337778862885"/>
        <bgColor indexed="64"/>
      </patternFill>
    </fill>
    <fill>
      <patternFill patternType="solid">
        <fgColor theme="3" tint="0.59999389629810485"/>
        <bgColor indexed="64"/>
      </patternFill>
    </fill>
    <fill>
      <patternFill patternType="solid">
        <fgColor theme="2"/>
        <bgColor indexed="64"/>
      </patternFill>
    </fill>
    <fill>
      <patternFill patternType="solid">
        <fgColor theme="0" tint="-4.9989318521683403E-2"/>
        <bgColor indexed="64"/>
      </patternFill>
    </fill>
    <fill>
      <patternFill patternType="solid">
        <fgColor theme="9" tint="-0.49998474074526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rgb="FFFDF0E9"/>
        <bgColor indexed="64"/>
      </patternFill>
    </fill>
    <fill>
      <patternFill patternType="solid">
        <fgColor theme="0"/>
        <bgColor indexed="64"/>
      </patternFill>
    </fill>
    <fill>
      <patternFill patternType="solid">
        <fgColor theme="1" tint="0.39997558519241921"/>
        <bgColor indexed="64"/>
      </patternFill>
    </fill>
    <fill>
      <patternFill patternType="solid">
        <fgColor theme="2" tint="-9.9978637043366805E-2"/>
        <bgColor indexed="64"/>
      </patternFill>
    </fill>
    <fill>
      <patternFill patternType="solid">
        <fgColor rgb="FFEEFAFC"/>
        <bgColor indexed="64"/>
      </patternFill>
    </fill>
    <fill>
      <patternFill patternType="solid">
        <fgColor theme="5"/>
        <bgColor indexed="64"/>
      </patternFill>
    </fill>
    <fill>
      <patternFill patternType="solid">
        <fgColor theme="5" tint="0.39997558519241921"/>
        <bgColor indexed="64"/>
      </patternFill>
    </fill>
    <fill>
      <patternFill patternType="solid">
        <fgColor theme="1"/>
        <bgColor indexed="64"/>
      </patternFill>
    </fill>
    <fill>
      <patternFill patternType="solid">
        <fgColor theme="6"/>
        <bgColor indexed="64"/>
      </patternFill>
    </fill>
    <fill>
      <patternFill patternType="solid">
        <fgColor theme="8"/>
        <bgColor indexed="64"/>
      </patternFill>
    </fill>
    <fill>
      <patternFill patternType="solid">
        <fgColor theme="4"/>
        <bgColor indexed="64"/>
      </patternFill>
    </fill>
  </fills>
  <borders count="29">
    <border>
      <left/>
      <right/>
      <top/>
      <bottom/>
      <diagonal/>
    </border>
    <border>
      <left style="thin">
        <color rgb="FF7F7F7F"/>
      </left>
      <right style="thin">
        <color rgb="FF7F7F7F"/>
      </right>
      <top style="thin">
        <color rgb="FF7F7F7F"/>
      </top>
      <bottom style="thin">
        <color rgb="FF7F7F7F"/>
      </bottom>
      <diagonal/>
    </border>
    <border>
      <left/>
      <right/>
      <top/>
      <bottom style="medium">
        <color theme="4" tint="0.39997558519241921"/>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style="thin">
        <color indexed="64"/>
      </bottom>
      <diagonal/>
    </border>
    <border>
      <left/>
      <right/>
      <top style="medium">
        <color auto="1"/>
      </top>
      <bottom/>
      <diagonal/>
    </border>
    <border>
      <left/>
      <right/>
      <top style="thin">
        <color indexed="64"/>
      </top>
      <bottom style="medium">
        <color indexed="64"/>
      </bottom>
      <diagonal/>
    </border>
    <border>
      <left style="thin">
        <color theme="0" tint="-0.14996795556505021"/>
      </left>
      <right/>
      <top/>
      <bottom/>
      <diagonal/>
    </border>
    <border>
      <left/>
      <right/>
      <top/>
      <bottom style="thick">
        <color theme="9" tint="-0.499984740745262"/>
      </bottom>
      <diagonal/>
    </border>
    <border>
      <left/>
      <right/>
      <top style="thin">
        <color indexed="64"/>
      </top>
      <bottom/>
      <diagonal/>
    </border>
    <border>
      <left/>
      <right/>
      <top/>
      <bottom style="medium">
        <color auto="1"/>
      </bottom>
      <diagonal/>
    </border>
    <border>
      <left style="thin">
        <color theme="8"/>
      </left>
      <right/>
      <top/>
      <bottom/>
      <diagonal/>
    </border>
    <border>
      <left/>
      <right style="thin">
        <color theme="8"/>
      </right>
      <top/>
      <bottom/>
      <diagonal/>
    </border>
    <border>
      <left style="thin">
        <color theme="8"/>
      </left>
      <right/>
      <top/>
      <bottom style="thin">
        <color indexed="64"/>
      </bottom>
      <diagonal/>
    </border>
    <border>
      <left/>
      <right style="thin">
        <color theme="8"/>
      </right>
      <top/>
      <bottom style="thin">
        <color indexed="64"/>
      </bottom>
      <diagonal/>
    </border>
    <border>
      <left style="thin">
        <color theme="8"/>
      </left>
      <right/>
      <top/>
      <bottom style="medium">
        <color auto="1"/>
      </bottom>
      <diagonal/>
    </border>
    <border>
      <left/>
      <right style="thin">
        <color auto="1"/>
      </right>
      <top style="medium">
        <color auto="1"/>
      </top>
      <bottom/>
      <diagonal/>
    </border>
    <border>
      <left style="thin">
        <color rgb="FF7F7F7F"/>
      </left>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top style="thin">
        <color theme="0"/>
      </top>
      <bottom/>
      <diagonal/>
    </border>
    <border>
      <left/>
      <right style="thin">
        <color theme="0"/>
      </right>
      <top style="thin">
        <color theme="0"/>
      </top>
      <bottom/>
      <diagonal/>
    </border>
    <border>
      <left style="thin">
        <color theme="0"/>
      </left>
      <right/>
      <top/>
      <bottom style="thin">
        <color theme="0"/>
      </bottom>
      <diagonal/>
    </border>
    <border>
      <left/>
      <right style="thin">
        <color theme="0"/>
      </right>
      <top/>
      <bottom style="thin">
        <color theme="0"/>
      </bottom>
      <diagonal/>
    </border>
  </borders>
  <cellStyleXfs count="81">
    <xf numFmtId="0" fontId="0" fillId="0" borderId="0"/>
    <xf numFmtId="0" fontId="43" fillId="0" borderId="12" applyNumberFormat="0" applyFill="0" applyAlignment="0" applyProtection="0"/>
    <xf numFmtId="9" fontId="1" fillId="0" borderId="0" applyFont="0" applyFill="0" applyBorder="0" applyAlignment="0" applyProtection="0"/>
    <xf numFmtId="0" fontId="40" fillId="35" borderId="1" applyNumberFormat="0" applyAlignment="0" applyProtection="0"/>
    <xf numFmtId="0" fontId="42" fillId="34" borderId="1" applyNumberFormat="0" applyAlignment="0" applyProtection="0"/>
    <xf numFmtId="0" fontId="2" fillId="0" borderId="0" applyNumberFormat="0" applyFill="0" applyBorder="0" applyAlignment="0" applyProtection="0"/>
    <xf numFmtId="43" fontId="1" fillId="0" borderId="0" applyFont="0" applyFill="0" applyBorder="0" applyAlignment="0" applyProtection="0"/>
    <xf numFmtId="0" fontId="11" fillId="0" borderId="0" applyNumberFormat="0" applyFill="0" applyBorder="0" applyAlignment="0" applyProtection="0"/>
    <xf numFmtId="0" fontId="44" fillId="0" borderId="12" applyNumberFormat="0" applyFill="0" applyAlignment="0" applyProtection="0"/>
    <xf numFmtId="0" fontId="12" fillId="0" borderId="2" applyNumberFormat="0" applyFill="0" applyAlignment="0" applyProtection="0"/>
    <xf numFmtId="0" fontId="12" fillId="0" borderId="0" applyNumberFormat="0" applyFill="0" applyBorder="0" applyAlignment="0" applyProtection="0"/>
    <xf numFmtId="0" fontId="13" fillId="3" borderId="0" applyNumberFormat="0" applyBorder="0" applyAlignment="0" applyProtection="0"/>
    <xf numFmtId="0" fontId="14" fillId="4" borderId="0" applyNumberFormat="0" applyBorder="0" applyAlignment="0" applyProtection="0"/>
    <xf numFmtId="0" fontId="15" fillId="5" borderId="0" applyNumberFormat="0" applyBorder="0" applyAlignment="0" applyProtection="0"/>
    <xf numFmtId="3" fontId="41" fillId="33" borderId="0" applyProtection="0"/>
    <xf numFmtId="0" fontId="17" fillId="0" borderId="3" applyNumberFormat="0" applyFill="0" applyAlignment="0" applyProtection="0"/>
    <xf numFmtId="0" fontId="18" fillId="6" borderId="4" applyNumberFormat="0" applyAlignment="0" applyProtection="0"/>
    <xf numFmtId="0" fontId="19" fillId="0" borderId="0" applyNumberFormat="0" applyFill="0" applyBorder="0" applyAlignment="0" applyProtection="0"/>
    <xf numFmtId="0" fontId="1" fillId="7" borderId="5" applyNumberFormat="0" applyFont="0" applyAlignment="0" applyProtection="0"/>
    <xf numFmtId="0" fontId="70" fillId="0" borderId="0" applyNumberFormat="0" applyFill="0" applyBorder="0" applyAlignment="0" applyProtection="0"/>
    <xf numFmtId="0" fontId="4" fillId="0" borderId="6" applyNumberFormat="0" applyFill="0" applyAlignment="0" applyProtection="0"/>
    <xf numFmtId="0" fontId="20"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20"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20"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0"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0"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0"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20" fillId="23" borderId="0" applyNumberFormat="0" applyBorder="0" applyAlignment="0" applyProtection="0"/>
    <xf numFmtId="0" fontId="20" fillId="19" borderId="0" applyNumberFormat="0" applyBorder="0" applyAlignment="0" applyProtection="0"/>
    <xf numFmtId="0" fontId="20" fillId="15" borderId="0" applyNumberFormat="0" applyBorder="0" applyAlignment="0" applyProtection="0"/>
    <xf numFmtId="0" fontId="20" fillId="11" borderId="0" applyNumberFormat="0" applyBorder="0" applyAlignment="0" applyProtection="0"/>
    <xf numFmtId="0" fontId="20" fillId="27" borderId="0" applyNumberFormat="0" applyBorder="0" applyAlignment="0" applyProtection="0"/>
    <xf numFmtId="0" fontId="20" fillId="31" borderId="0" applyNumberFormat="0" applyBorder="0" applyAlignment="0" applyProtection="0"/>
    <xf numFmtId="0" fontId="23" fillId="4" borderId="0" applyNumberFormat="0" applyBorder="0" applyAlignment="0" applyProtection="0"/>
    <xf numFmtId="0" fontId="24" fillId="6" borderId="4" applyNumberFormat="0" applyAlignment="0" applyProtection="0"/>
    <xf numFmtId="0" fontId="25" fillId="0" borderId="0" applyNumberFormat="0" applyFill="0" applyBorder="0" applyAlignment="0" applyProtection="0"/>
    <xf numFmtId="0" fontId="26" fillId="8" borderId="0" applyNumberFormat="0" applyBorder="0" applyAlignment="0" applyProtection="0"/>
    <xf numFmtId="0" fontId="3" fillId="10"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26" fillId="19" borderId="0" applyNumberFormat="0" applyBorder="0" applyAlignment="0" applyProtection="0"/>
    <xf numFmtId="0" fontId="26" fillId="20"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26" fillId="27" borderId="0" applyNumberFormat="0" applyBorder="0" applyAlignment="0" applyProtection="0"/>
    <xf numFmtId="0" fontId="26" fillId="28"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26" fillId="31" borderId="0" applyNumberFormat="0" applyBorder="0" applyAlignment="0" applyProtection="0"/>
    <xf numFmtId="0" fontId="31" fillId="0" borderId="0" applyNumberFormat="0" applyFill="0" applyBorder="0" applyAlignment="0" applyProtection="0">
      <alignment vertical="top"/>
      <protection locked="0"/>
    </xf>
    <xf numFmtId="0" fontId="39" fillId="0" borderId="0" applyNumberFormat="0" applyFill="0" applyBorder="0" applyAlignment="0" applyProtection="0"/>
    <xf numFmtId="0" fontId="48" fillId="0" borderId="0"/>
    <xf numFmtId="0" fontId="32" fillId="37" borderId="0">
      <alignment vertical="center"/>
    </xf>
  </cellStyleXfs>
  <cellXfs count="371">
    <xf numFmtId="0" fontId="0" fillId="0" borderId="0" xfId="0"/>
    <xf numFmtId="3" fontId="41" fillId="33" borderId="0" xfId="14"/>
    <xf numFmtId="3" fontId="16" fillId="33" borderId="0" xfId="14" applyFont="1"/>
    <xf numFmtId="164" fontId="16" fillId="33" borderId="0" xfId="6" applyNumberFormat="1" applyFont="1" applyFill="1"/>
    <xf numFmtId="0" fontId="43" fillId="0" borderId="12" xfId="1"/>
    <xf numFmtId="3" fontId="0" fillId="0" borderId="0" xfId="0" applyNumberFormat="1"/>
    <xf numFmtId="9" fontId="0" fillId="0" borderId="0" xfId="2" applyFont="1"/>
    <xf numFmtId="0" fontId="7" fillId="0" borderId="0" xfId="0" applyFont="1"/>
    <xf numFmtId="0" fontId="8" fillId="0" borderId="0" xfId="0" applyFont="1" applyAlignment="1">
      <alignment horizontal="right"/>
    </xf>
    <xf numFmtId="0" fontId="10" fillId="0" borderId="0" xfId="0" applyFont="1" applyAlignment="1">
      <alignment horizontal="right"/>
    </xf>
    <xf numFmtId="0" fontId="9" fillId="0" borderId="0" xfId="0" applyFont="1"/>
    <xf numFmtId="0" fontId="7" fillId="0" borderId="0" xfId="0" applyFont="1" applyAlignment="1">
      <alignment horizontal="left"/>
    </xf>
    <xf numFmtId="14" fontId="22" fillId="0" borderId="0" xfId="0" applyNumberFormat="1" applyFont="1" applyAlignment="1">
      <alignment horizontal="left"/>
    </xf>
    <xf numFmtId="0" fontId="21" fillId="0" borderId="7" xfId="0" applyFont="1" applyBorder="1"/>
    <xf numFmtId="0" fontId="44" fillId="0" borderId="12" xfId="8"/>
    <xf numFmtId="0" fontId="2" fillId="0" borderId="0" xfId="5"/>
    <xf numFmtId="0" fontId="4" fillId="0" borderId="0" xfId="0" applyFont="1"/>
    <xf numFmtId="0" fontId="21" fillId="0" borderId="0" xfId="0" applyFont="1"/>
    <xf numFmtId="0" fontId="27" fillId="0" borderId="0" xfId="0" applyFont="1" applyAlignment="1">
      <alignment horizontal="left" wrapText="1"/>
    </xf>
    <xf numFmtId="0" fontId="28" fillId="0" borderId="0" xfId="0" applyFont="1"/>
    <xf numFmtId="0" fontId="28" fillId="0" borderId="0" xfId="0" applyFont="1" applyAlignment="1">
      <alignment horizontal="left" vertical="top" wrapText="1"/>
    </xf>
    <xf numFmtId="0" fontId="28" fillId="0" borderId="0" xfId="0" applyFont="1" applyAlignment="1">
      <alignment horizontal="left" wrapText="1"/>
    </xf>
    <xf numFmtId="0" fontId="27" fillId="0" borderId="0" xfId="0" applyFont="1"/>
    <xf numFmtId="0" fontId="28" fillId="0" borderId="0" xfId="0" applyFont="1" applyAlignment="1">
      <alignment horizontal="left" vertical="center" wrapText="1"/>
    </xf>
    <xf numFmtId="0" fontId="27" fillId="0" borderId="0" xfId="0" applyFont="1" applyAlignment="1">
      <alignment horizontal="left" vertical="top" wrapText="1"/>
    </xf>
    <xf numFmtId="0" fontId="28" fillId="0" borderId="0" xfId="0" applyFont="1" applyAlignment="1">
      <alignment horizontal="left"/>
    </xf>
    <xf numFmtId="0" fontId="27" fillId="0" borderId="0" xfId="0" applyFont="1" applyAlignment="1">
      <alignment horizontal="left" vertical="center" wrapText="1"/>
    </xf>
    <xf numFmtId="0" fontId="28" fillId="0" borderId="0" xfId="0" applyFont="1" applyAlignment="1">
      <alignment horizontal="left" vertical="center"/>
    </xf>
    <xf numFmtId="0" fontId="29" fillId="0" borderId="0" xfId="0" applyFont="1" applyAlignment="1">
      <alignment horizontal="left"/>
    </xf>
    <xf numFmtId="0" fontId="30" fillId="0" borderId="0" xfId="0" applyFont="1"/>
    <xf numFmtId="0" fontId="0" fillId="0" borderId="0" xfId="0" applyAlignment="1">
      <alignment horizontal="right"/>
    </xf>
    <xf numFmtId="0" fontId="33" fillId="0" borderId="0" xfId="0" applyFont="1"/>
    <xf numFmtId="0" fontId="34" fillId="0" borderId="0" xfId="0" applyFont="1"/>
    <xf numFmtId="3" fontId="33" fillId="0" borderId="0" xfId="0" applyNumberFormat="1" applyFont="1"/>
    <xf numFmtId="3" fontId="34" fillId="0" borderId="0" xfId="0" applyNumberFormat="1" applyFont="1"/>
    <xf numFmtId="0" fontId="0" fillId="0" borderId="7" xfId="0" applyBorder="1"/>
    <xf numFmtId="0" fontId="34" fillId="0" borderId="0" xfId="0" applyFont="1" applyAlignment="1">
      <alignment horizontal="center"/>
    </xf>
    <xf numFmtId="3" fontId="4" fillId="0" borderId="0" xfId="0" applyNumberFormat="1" applyFont="1"/>
    <xf numFmtId="9" fontId="0" fillId="0" borderId="0" xfId="2" applyFont="1" applyAlignment="1">
      <alignment horizontal="right"/>
    </xf>
    <xf numFmtId="0" fontId="36" fillId="0" borderId="0" xfId="0" applyFont="1"/>
    <xf numFmtId="0" fontId="5" fillId="0" borderId="0" xfId="0" applyFont="1" applyAlignment="1">
      <alignment horizontal="left"/>
    </xf>
    <xf numFmtId="0" fontId="5" fillId="0" borderId="0" xfId="0" applyFont="1"/>
    <xf numFmtId="0" fontId="7" fillId="0" borderId="0" xfId="0" quotePrefix="1" applyFont="1"/>
    <xf numFmtId="0" fontId="37" fillId="0" borderId="0" xfId="0" applyFont="1"/>
    <xf numFmtId="9" fontId="33" fillId="0" borderId="0" xfId="2" applyFont="1"/>
    <xf numFmtId="3" fontId="42" fillId="34" borderId="1" xfId="4" applyNumberFormat="1" applyAlignment="1">
      <alignment horizontal="center" vertical="center"/>
    </xf>
    <xf numFmtId="0" fontId="38" fillId="0" borderId="0" xfId="19" applyFont="1" applyAlignment="1">
      <alignment horizontal="left" wrapText="1"/>
    </xf>
    <xf numFmtId="0" fontId="4" fillId="0" borderId="0" xfId="0" applyFont="1" applyAlignment="1">
      <alignment horizontal="center"/>
    </xf>
    <xf numFmtId="0" fontId="40" fillId="35" borderId="1" xfId="3" applyAlignment="1">
      <alignment horizontal="center" vertical="center"/>
    </xf>
    <xf numFmtId="3" fontId="42" fillId="34" borderId="1" xfId="4" quotePrefix="1" applyNumberFormat="1" applyAlignment="1">
      <alignment horizontal="center" vertical="center"/>
    </xf>
    <xf numFmtId="0" fontId="38" fillId="0" borderId="0" xfId="19" applyFont="1" applyAlignment="1">
      <alignment wrapText="1"/>
    </xf>
    <xf numFmtId="0" fontId="48" fillId="0" borderId="0" xfId="79"/>
    <xf numFmtId="0" fontId="42" fillId="34" borderId="1" xfId="4" applyAlignment="1">
      <alignment horizontal="center"/>
    </xf>
    <xf numFmtId="9" fontId="4" fillId="0" borderId="0" xfId="2" applyFont="1"/>
    <xf numFmtId="3" fontId="4" fillId="32" borderId="0" xfId="0" applyNumberFormat="1" applyFont="1" applyFill="1"/>
    <xf numFmtId="3" fontId="0" fillId="32" borderId="0" xfId="0" applyNumberFormat="1" applyFill="1"/>
    <xf numFmtId="3" fontId="34" fillId="0" borderId="0" xfId="0" applyNumberFormat="1" applyFont="1" applyAlignment="1">
      <alignment wrapText="1"/>
    </xf>
    <xf numFmtId="0" fontId="70" fillId="0" borderId="0" xfId="19"/>
    <xf numFmtId="3" fontId="4" fillId="0" borderId="11" xfId="0" applyNumberFormat="1" applyFont="1" applyBorder="1"/>
    <xf numFmtId="0" fontId="70" fillId="0" borderId="0" xfId="19" applyAlignment="1">
      <alignment horizontal="right"/>
    </xf>
    <xf numFmtId="0" fontId="33" fillId="0" borderId="0" xfId="0" applyFont="1" applyAlignment="1">
      <alignment wrapText="1"/>
    </xf>
    <xf numFmtId="0" fontId="34" fillId="0" borderId="0" xfId="0" applyFont="1" applyAlignment="1">
      <alignment wrapText="1"/>
    </xf>
    <xf numFmtId="0" fontId="44" fillId="0" borderId="12" xfId="8" applyFill="1"/>
    <xf numFmtId="0" fontId="4" fillId="0" borderId="0" xfId="0" applyFont="1" applyAlignment="1">
      <alignment horizontal="centerContinuous"/>
    </xf>
    <xf numFmtId="0" fontId="45" fillId="0" borderId="9" xfId="0" applyFont="1" applyBorder="1"/>
    <xf numFmtId="0" fontId="45" fillId="0" borderId="9" xfId="0" applyFont="1" applyBorder="1" applyAlignment="1">
      <alignment horizontal="centerContinuous"/>
    </xf>
    <xf numFmtId="0" fontId="45" fillId="0" borderId="7" xfId="0" applyFont="1" applyBorder="1"/>
    <xf numFmtId="0" fontId="45" fillId="0" borderId="7" xfId="0" applyFont="1" applyBorder="1" applyAlignment="1">
      <alignment horizontal="center"/>
    </xf>
    <xf numFmtId="0" fontId="45" fillId="0" borderId="0" xfId="0" applyFont="1" applyAlignment="1">
      <alignment horizontal="center"/>
    </xf>
    <xf numFmtId="3" fontId="30" fillId="0" borderId="0" xfId="0" applyNumberFormat="1" applyFont="1"/>
    <xf numFmtId="0" fontId="30" fillId="0" borderId="7" xfId="0" applyFont="1" applyBorder="1"/>
    <xf numFmtId="3" fontId="30" fillId="0" borderId="7" xfId="0" applyNumberFormat="1" applyFont="1" applyBorder="1"/>
    <xf numFmtId="3" fontId="45" fillId="0" borderId="7" xfId="0" applyNumberFormat="1" applyFont="1" applyBorder="1"/>
    <xf numFmtId="3" fontId="27" fillId="0" borderId="9" xfId="0" applyNumberFormat="1" applyFont="1" applyBorder="1" applyAlignment="1">
      <alignment wrapText="1"/>
    </xf>
    <xf numFmtId="3" fontId="27" fillId="0" borderId="7" xfId="0" applyNumberFormat="1" applyFont="1" applyBorder="1" applyAlignment="1">
      <alignment wrapText="1"/>
    </xf>
    <xf numFmtId="3" fontId="45" fillId="0" borderId="0" xfId="0" applyNumberFormat="1" applyFont="1" applyAlignment="1">
      <alignment horizontal="right"/>
    </xf>
    <xf numFmtId="3" fontId="45" fillId="0" borderId="7" xfId="0" applyNumberFormat="1" applyFont="1" applyBorder="1" applyAlignment="1">
      <alignment horizontal="right"/>
    </xf>
    <xf numFmtId="0" fontId="30" fillId="0" borderId="10" xfId="0" applyFont="1" applyBorder="1"/>
    <xf numFmtId="0" fontId="45" fillId="0" borderId="10" xfId="0" applyFont="1" applyBorder="1" applyAlignment="1">
      <alignment horizontal="right" indent="1"/>
    </xf>
    <xf numFmtId="0" fontId="45" fillId="36" borderId="0" xfId="0" applyFont="1" applyFill="1"/>
    <xf numFmtId="3" fontId="27" fillId="0" borderId="0" xfId="0" applyNumberFormat="1" applyFont="1" applyAlignment="1">
      <alignment wrapText="1"/>
    </xf>
    <xf numFmtId="0" fontId="45" fillId="0" borderId="0" xfId="0" applyFont="1"/>
    <xf numFmtId="0" fontId="38" fillId="0" borderId="0" xfId="19" applyFont="1" applyAlignment="1">
      <alignment vertical="top"/>
    </xf>
    <xf numFmtId="0" fontId="0" fillId="0" borderId="9" xfId="0" applyBorder="1"/>
    <xf numFmtId="0" fontId="0" fillId="0" borderId="9" xfId="0" applyBorder="1" applyAlignment="1">
      <alignment horizontal="centerContinuous"/>
    </xf>
    <xf numFmtId="0" fontId="7" fillId="0" borderId="0" xfId="0" applyFont="1" applyAlignment="1">
      <alignment wrapText="1"/>
    </xf>
    <xf numFmtId="3" fontId="7" fillId="0" borderId="0" xfId="0" applyNumberFormat="1" applyFont="1" applyAlignment="1">
      <alignment wrapText="1"/>
    </xf>
    <xf numFmtId="0" fontId="21" fillId="0" borderId="0" xfId="0" applyFont="1" applyAlignment="1">
      <alignment wrapText="1"/>
    </xf>
    <xf numFmtId="0" fontId="7" fillId="0" borderId="0" xfId="0" applyFont="1" applyAlignment="1">
      <alignment horizontal="center" wrapText="1"/>
    </xf>
    <xf numFmtId="0" fontId="7" fillId="0" borderId="0" xfId="0" applyFont="1" applyAlignment="1">
      <alignment horizontal="center" vertical="center" wrapText="1"/>
    </xf>
    <xf numFmtId="0" fontId="7" fillId="0" borderId="0" xfId="0" applyFont="1" applyAlignment="1">
      <alignment horizontal="center" vertical="center"/>
    </xf>
    <xf numFmtId="9" fontId="7" fillId="0" borderId="0" xfId="0" applyNumberFormat="1" applyFont="1"/>
    <xf numFmtId="9" fontId="7" fillId="0" borderId="0" xfId="0" applyNumberFormat="1" applyFont="1" applyAlignment="1">
      <alignment horizontal="center" vertical="center"/>
    </xf>
    <xf numFmtId="9" fontId="7" fillId="0" borderId="0" xfId="2" applyFont="1" applyAlignment="1">
      <alignment horizontal="center" vertical="center"/>
    </xf>
    <xf numFmtId="164" fontId="7" fillId="0" borderId="0" xfId="6" applyNumberFormat="1" applyFont="1"/>
    <xf numFmtId="164" fontId="7" fillId="0" borderId="0" xfId="6" applyNumberFormat="1" applyFont="1" applyAlignment="1">
      <alignment horizontal="center" vertical="center"/>
    </xf>
    <xf numFmtId="0" fontId="0" fillId="38" borderId="0" xfId="0" applyFill="1"/>
    <xf numFmtId="165" fontId="34" fillId="0" borderId="0" xfId="0" applyNumberFormat="1" applyFont="1"/>
    <xf numFmtId="0" fontId="0" fillId="0" borderId="0" xfId="0" applyAlignment="1">
      <alignment horizontal="center"/>
    </xf>
    <xf numFmtId="0" fontId="38" fillId="0" borderId="0" xfId="19" applyFont="1" applyAlignment="1">
      <alignment horizontal="left" vertical="top" wrapText="1"/>
    </xf>
    <xf numFmtId="0" fontId="45" fillId="0" borderId="9" xfId="0" applyFont="1" applyBorder="1" applyAlignment="1">
      <alignment horizontal="center"/>
    </xf>
    <xf numFmtId="9" fontId="30" fillId="0" borderId="0" xfId="2" applyFont="1" applyAlignment="1">
      <alignment horizontal="center"/>
    </xf>
    <xf numFmtId="3" fontId="30" fillId="0" borderId="0" xfId="0" applyNumberFormat="1" applyFont="1" applyAlignment="1">
      <alignment horizontal="center"/>
    </xf>
    <xf numFmtId="3" fontId="30" fillId="0" borderId="7" xfId="0" applyNumberFormat="1" applyFont="1" applyBorder="1" applyAlignment="1">
      <alignment horizontal="center"/>
    </xf>
    <xf numFmtId="3" fontId="45" fillId="0" borderId="0" xfId="0" applyNumberFormat="1" applyFont="1" applyAlignment="1">
      <alignment horizontal="center"/>
    </xf>
    <xf numFmtId="0" fontId="45" fillId="36" borderId="0" xfId="0" applyFont="1" applyFill="1" applyAlignment="1">
      <alignment horizontal="center"/>
    </xf>
    <xf numFmtId="3" fontId="45" fillId="0" borderId="8" xfId="0" applyNumberFormat="1" applyFont="1" applyBorder="1" applyAlignment="1">
      <alignment horizontal="center"/>
    </xf>
    <xf numFmtId="3" fontId="45" fillId="0" borderId="10" xfId="0" applyNumberFormat="1" applyFont="1" applyBorder="1" applyAlignment="1">
      <alignment horizontal="center"/>
    </xf>
    <xf numFmtId="9" fontId="0" fillId="0" borderId="0" xfId="2" applyFont="1" applyFill="1" applyAlignment="1">
      <alignment horizontal="right"/>
    </xf>
    <xf numFmtId="2" fontId="0" fillId="0" borderId="0" xfId="0" applyNumberFormat="1"/>
    <xf numFmtId="0" fontId="37" fillId="0" borderId="7" xfId="0" applyFont="1" applyBorder="1"/>
    <xf numFmtId="0" fontId="12" fillId="0" borderId="0" xfId="10"/>
    <xf numFmtId="0" fontId="32" fillId="37" borderId="0" xfId="80">
      <alignment vertical="center"/>
    </xf>
    <xf numFmtId="0" fontId="47" fillId="0" borderId="0" xfId="0" applyFont="1"/>
    <xf numFmtId="3" fontId="70" fillId="0" borderId="0" xfId="19" applyNumberFormat="1"/>
    <xf numFmtId="0" fontId="45" fillId="36" borderId="15" xfId="0" applyFont="1" applyFill="1" applyBorder="1"/>
    <xf numFmtId="9" fontId="30" fillId="0" borderId="0" xfId="2" applyFont="1"/>
    <xf numFmtId="3" fontId="49" fillId="0" borderId="0" xfId="0" applyNumberFormat="1" applyFont="1" applyAlignment="1">
      <alignment horizontal="left" indent="1"/>
    </xf>
    <xf numFmtId="0" fontId="49" fillId="0" borderId="0" xfId="0" applyFont="1"/>
    <xf numFmtId="3" fontId="49" fillId="0" borderId="0" xfId="0" applyNumberFormat="1" applyFont="1" applyAlignment="1">
      <alignment horizontal="center"/>
    </xf>
    <xf numFmtId="3" fontId="49" fillId="0" borderId="0" xfId="0" applyNumberFormat="1" applyFont="1" applyAlignment="1">
      <alignment horizontal="left" indent="2"/>
    </xf>
    <xf numFmtId="166" fontId="49" fillId="0" borderId="0" xfId="0" applyNumberFormat="1" applyFont="1"/>
    <xf numFmtId="9" fontId="49" fillId="0" borderId="0" xfId="2" applyFont="1"/>
    <xf numFmtId="0" fontId="0" fillId="0" borderId="20" xfId="0" applyBorder="1"/>
    <xf numFmtId="0" fontId="50" fillId="0" borderId="9" xfId="0" applyFont="1" applyBorder="1" applyAlignment="1">
      <alignment horizontal="centerContinuous"/>
    </xf>
    <xf numFmtId="0" fontId="51" fillId="0" borderId="0" xfId="10" applyFont="1"/>
    <xf numFmtId="0" fontId="21" fillId="0" borderId="0" xfId="0" applyFont="1" applyAlignment="1">
      <alignment horizontal="right"/>
    </xf>
    <xf numFmtId="0" fontId="7" fillId="0" borderId="0" xfId="0" applyFont="1" applyAlignment="1">
      <alignment horizontal="right" wrapText="1"/>
    </xf>
    <xf numFmtId="3" fontId="21" fillId="0" borderId="0" xfId="0" applyNumberFormat="1" applyFont="1" applyAlignment="1">
      <alignment wrapText="1"/>
    </xf>
    <xf numFmtId="0" fontId="21" fillId="0" borderId="0" xfId="0" applyFont="1" applyAlignment="1">
      <alignment horizontal="center" wrapText="1"/>
    </xf>
    <xf numFmtId="0" fontId="9" fillId="0" borderId="0" xfId="0" applyFont="1" applyAlignment="1">
      <alignment wrapText="1"/>
    </xf>
    <xf numFmtId="0" fontId="7" fillId="40" borderId="0" xfId="0" applyFont="1" applyFill="1"/>
    <xf numFmtId="0" fontId="53" fillId="0" borderId="0" xfId="0" applyFont="1"/>
    <xf numFmtId="0" fontId="7" fillId="0" borderId="14" xfId="0" applyFont="1" applyBorder="1"/>
    <xf numFmtId="0" fontId="54" fillId="0" borderId="0" xfId="0" applyFont="1" applyAlignment="1">
      <alignment horizontal="left" wrapText="1"/>
    </xf>
    <xf numFmtId="9" fontId="7" fillId="0" borderId="0" xfId="2" applyFont="1" applyAlignment="1">
      <alignment wrapText="1"/>
    </xf>
    <xf numFmtId="0" fontId="7" fillId="0" borderId="22" xfId="0" applyFont="1" applyBorder="1"/>
    <xf numFmtId="0" fontId="7" fillId="41" borderId="22" xfId="0" applyFont="1" applyFill="1" applyBorder="1"/>
    <xf numFmtId="0" fontId="28" fillId="0" borderId="22" xfId="0" applyFont="1" applyBorder="1" applyAlignment="1">
      <alignment horizontal="left"/>
    </xf>
    <xf numFmtId="0" fontId="28" fillId="0" borderId="22" xfId="0" applyFont="1" applyBorder="1"/>
    <xf numFmtId="0" fontId="28" fillId="35" borderId="22" xfId="0" applyFont="1" applyFill="1" applyBorder="1"/>
    <xf numFmtId="0" fontId="28" fillId="42" borderId="22" xfId="0" applyFont="1" applyFill="1" applyBorder="1"/>
    <xf numFmtId="0" fontId="7" fillId="43" borderId="22" xfId="0" applyFont="1" applyFill="1" applyBorder="1"/>
    <xf numFmtId="0" fontId="7" fillId="2" borderId="22" xfId="0" applyFont="1" applyFill="1" applyBorder="1"/>
    <xf numFmtId="0" fontId="7" fillId="0" borderId="0" xfId="0" applyFont="1" applyAlignment="1">
      <alignment horizontal="left" wrapText="1"/>
    </xf>
    <xf numFmtId="9" fontId="7" fillId="0" borderId="0" xfId="2" applyFont="1" applyFill="1" applyAlignment="1">
      <alignment horizontal="center" vertical="center"/>
    </xf>
    <xf numFmtId="0" fontId="33" fillId="0" borderId="0" xfId="0" applyFont="1" applyAlignment="1">
      <alignment horizontal="left" vertical="top" wrapText="1"/>
    </xf>
    <xf numFmtId="3" fontId="7" fillId="0" borderId="0" xfId="0" applyNumberFormat="1" applyFont="1"/>
    <xf numFmtId="164" fontId="7" fillId="0" borderId="0" xfId="6" applyNumberFormat="1" applyFont="1" applyBorder="1"/>
    <xf numFmtId="3" fontId="58" fillId="0" borderId="0" xfId="0" applyNumberFormat="1" applyFont="1"/>
    <xf numFmtId="0" fontId="0" fillId="44" borderId="0" xfId="0" applyFill="1"/>
    <xf numFmtId="0" fontId="46" fillId="44" borderId="0" xfId="0" applyFont="1" applyFill="1"/>
    <xf numFmtId="0" fontId="0" fillId="48" borderId="0" xfId="0" applyFill="1"/>
    <xf numFmtId="0" fontId="46" fillId="48" borderId="0" xfId="0" applyFont="1" applyFill="1"/>
    <xf numFmtId="0" fontId="32" fillId="35" borderId="0" xfId="0" applyFont="1" applyFill="1"/>
    <xf numFmtId="0" fontId="0" fillId="49" borderId="0" xfId="0" applyFill="1"/>
    <xf numFmtId="0" fontId="0" fillId="50" borderId="0" xfId="0" applyFill="1"/>
    <xf numFmtId="0" fontId="0" fillId="51" borderId="0" xfId="0" applyFill="1"/>
    <xf numFmtId="0" fontId="0" fillId="39" borderId="0" xfId="0" applyFill="1"/>
    <xf numFmtId="9" fontId="40" fillId="35" borderId="1" xfId="3" applyNumberFormat="1" applyAlignment="1">
      <alignment horizontal="center" vertical="center"/>
    </xf>
    <xf numFmtId="0" fontId="47" fillId="0" borderId="0" xfId="0" applyFont="1" applyAlignment="1">
      <alignment horizontal="center"/>
    </xf>
    <xf numFmtId="0" fontId="0" fillId="44" borderId="0" xfId="0" applyFill="1" applyAlignment="1">
      <alignment horizontal="center"/>
    </xf>
    <xf numFmtId="0" fontId="51" fillId="0" borderId="0" xfId="0" applyFont="1"/>
    <xf numFmtId="0" fontId="21" fillId="0" borderId="0" xfId="0" applyFont="1" applyAlignment="1">
      <alignment horizontal="right" wrapText="1"/>
    </xf>
    <xf numFmtId="0" fontId="7" fillId="0" borderId="0" xfId="0" applyFont="1" applyAlignment="1">
      <alignment horizontal="right"/>
    </xf>
    <xf numFmtId="0" fontId="60" fillId="0" borderId="12" xfId="1" applyFont="1"/>
    <xf numFmtId="0" fontId="61" fillId="0" borderId="12" xfId="8" applyFont="1"/>
    <xf numFmtId="0" fontId="61" fillId="0" borderId="12" xfId="8" applyFont="1" applyFill="1"/>
    <xf numFmtId="0" fontId="63" fillId="0" borderId="0" xfId="79" applyFont="1"/>
    <xf numFmtId="0" fontId="64" fillId="0" borderId="0" xfId="19" applyFont="1" applyAlignment="1">
      <alignment horizontal="right" wrapText="1"/>
    </xf>
    <xf numFmtId="0" fontId="64" fillId="0" borderId="0" xfId="19" applyFont="1"/>
    <xf numFmtId="0" fontId="64" fillId="0" borderId="0" xfId="19" applyFont="1" applyAlignment="1">
      <alignment wrapText="1"/>
    </xf>
    <xf numFmtId="0" fontId="53" fillId="40" borderId="0" xfId="0" applyFont="1" applyFill="1"/>
    <xf numFmtId="0" fontId="33" fillId="37" borderId="0" xfId="80" applyFont="1">
      <alignment vertical="center"/>
    </xf>
    <xf numFmtId="3" fontId="65" fillId="33" borderId="0" xfId="14" applyFont="1"/>
    <xf numFmtId="0" fontId="64" fillId="0" borderId="0" xfId="19" applyFont="1" applyAlignment="1">
      <alignment horizontal="right"/>
    </xf>
    <xf numFmtId="0" fontId="64" fillId="0" borderId="0" xfId="19" applyFont="1" applyAlignment="1">
      <alignment horizontal="left"/>
    </xf>
    <xf numFmtId="3" fontId="21" fillId="0" borderId="0" xfId="0" applyNumberFormat="1" applyFont="1"/>
    <xf numFmtId="0" fontId="27" fillId="0" borderId="0" xfId="0" applyFont="1" applyAlignment="1">
      <alignment vertical="center" wrapText="1"/>
    </xf>
    <xf numFmtId="9" fontId="30" fillId="0" borderId="0" xfId="2" applyFont="1" applyBorder="1" applyAlignment="1">
      <alignment horizontal="center"/>
    </xf>
    <xf numFmtId="9" fontId="37" fillId="0" borderId="0" xfId="2" applyFont="1" applyAlignment="1">
      <alignment horizontal="right"/>
    </xf>
    <xf numFmtId="9" fontId="37" fillId="0" borderId="7" xfId="2" applyFont="1" applyBorder="1" applyAlignment="1">
      <alignment horizontal="right"/>
    </xf>
    <xf numFmtId="164" fontId="37" fillId="0" borderId="0" xfId="6" applyNumberFormat="1" applyFont="1" applyAlignment="1">
      <alignment horizontal="right" vertical="center"/>
    </xf>
    <xf numFmtId="0" fontId="53" fillId="40" borderId="0" xfId="0" applyFont="1" applyFill="1" applyAlignment="1">
      <alignment horizontal="right"/>
    </xf>
    <xf numFmtId="0" fontId="64" fillId="0" borderId="0" xfId="19" applyFont="1" applyAlignment="1">
      <alignment vertical="top" wrapText="1"/>
    </xf>
    <xf numFmtId="0" fontId="0" fillId="0" borderId="22" xfId="0" applyBorder="1"/>
    <xf numFmtId="0" fontId="47" fillId="0" borderId="27" xfId="0" applyFont="1" applyBorder="1" applyAlignment="1">
      <alignment vertical="center"/>
    </xf>
    <xf numFmtId="0" fontId="47" fillId="0" borderId="28" xfId="0" applyFont="1" applyBorder="1" applyAlignment="1">
      <alignment vertical="center"/>
    </xf>
    <xf numFmtId="165" fontId="33" fillId="0" borderId="0" xfId="0" applyNumberFormat="1" applyFont="1"/>
    <xf numFmtId="164" fontId="7" fillId="0" borderId="0" xfId="0" applyNumberFormat="1" applyFont="1"/>
    <xf numFmtId="0" fontId="48" fillId="0" borderId="0" xfId="79" applyAlignment="1">
      <alignment wrapText="1"/>
    </xf>
    <xf numFmtId="0" fontId="9" fillId="0" borderId="0" xfId="0" quotePrefix="1" applyFont="1"/>
    <xf numFmtId="0" fontId="48" fillId="0" borderId="0" xfId="79" applyAlignment="1">
      <alignment vertical="top"/>
    </xf>
    <xf numFmtId="0" fontId="9" fillId="0" borderId="0" xfId="0" applyFont="1" applyAlignment="1">
      <alignment horizontal="center"/>
    </xf>
    <xf numFmtId="0" fontId="0" fillId="53" borderId="0" xfId="0" applyFill="1"/>
    <xf numFmtId="0" fontId="0" fillId="52" borderId="0" xfId="0" applyFill="1"/>
    <xf numFmtId="0" fontId="0" fillId="35" borderId="0" xfId="0" applyFill="1"/>
    <xf numFmtId="0" fontId="0" fillId="54" borderId="0" xfId="0" applyFill="1"/>
    <xf numFmtId="0" fontId="0" fillId="41" borderId="0" xfId="0" applyFill="1"/>
    <xf numFmtId="0" fontId="0" fillId="43" borderId="0" xfId="0" applyFill="1"/>
    <xf numFmtId="0" fontId="70" fillId="0" borderId="0" xfId="19" applyAlignment="1">
      <alignment wrapText="1"/>
    </xf>
    <xf numFmtId="0" fontId="0" fillId="0" borderId="22" xfId="0" applyBorder="1" applyAlignment="1">
      <alignment horizontal="center"/>
    </xf>
    <xf numFmtId="0" fontId="0" fillId="0" borderId="24" xfId="0" applyBorder="1"/>
    <xf numFmtId="0" fontId="0" fillId="0" borderId="23" xfId="0" applyBorder="1"/>
    <xf numFmtId="0" fontId="72" fillId="44" borderId="0" xfId="0" applyFont="1" applyFill="1" applyAlignment="1">
      <alignment vertical="center"/>
    </xf>
    <xf numFmtId="0" fontId="69" fillId="0" borderId="0" xfId="0" applyFont="1" applyAlignment="1">
      <alignment horizontal="center" vertical="center" wrapText="1"/>
    </xf>
    <xf numFmtId="0" fontId="68" fillId="0" borderId="22" xfId="0" applyFont="1" applyBorder="1" applyAlignment="1">
      <alignment horizontal="left" vertical="center" wrapText="1"/>
    </xf>
    <xf numFmtId="164" fontId="37" fillId="0" borderId="7" xfId="6" applyNumberFormat="1" applyFont="1" applyBorder="1" applyAlignment="1">
      <alignment horizontal="right" vertical="center"/>
    </xf>
    <xf numFmtId="164" fontId="30" fillId="0" borderId="0" xfId="6" applyNumberFormat="1" applyFont="1" applyAlignment="1">
      <alignment wrapText="1"/>
    </xf>
    <xf numFmtId="9" fontId="30" fillId="0" borderId="0" xfId="2" applyFont="1" applyAlignment="1">
      <alignment wrapText="1"/>
    </xf>
    <xf numFmtId="164" fontId="30" fillId="0" borderId="0" xfId="6" applyNumberFormat="1" applyFont="1" applyBorder="1" applyAlignment="1">
      <alignment wrapText="1"/>
    </xf>
    <xf numFmtId="9" fontId="30" fillId="0" borderId="0" xfId="2" applyFont="1" applyBorder="1" applyAlignment="1">
      <alignment wrapText="1"/>
    </xf>
    <xf numFmtId="164" fontId="30" fillId="0" borderId="7" xfId="6" applyNumberFormat="1" applyFont="1" applyBorder="1" applyAlignment="1">
      <alignment wrapText="1"/>
    </xf>
    <xf numFmtId="9" fontId="30" fillId="0" borderId="7" xfId="2" applyFont="1" applyBorder="1" applyAlignment="1">
      <alignment wrapText="1"/>
    </xf>
    <xf numFmtId="3" fontId="70" fillId="0" borderId="0" xfId="19" applyNumberFormat="1" applyAlignment="1">
      <alignment horizontal="center"/>
    </xf>
    <xf numFmtId="1" fontId="0" fillId="0" borderId="0" xfId="2" applyNumberFormat="1" applyFont="1"/>
    <xf numFmtId="0" fontId="4" fillId="0" borderId="0" xfId="0" applyFont="1" applyAlignment="1">
      <alignment horizontal="center" wrapText="1"/>
    </xf>
    <xf numFmtId="0" fontId="73" fillId="0" borderId="9" xfId="79" applyFont="1" applyBorder="1"/>
    <xf numFmtId="0" fontId="30" fillId="0" borderId="9" xfId="0" applyFont="1" applyBorder="1"/>
    <xf numFmtId="0" fontId="30" fillId="0" borderId="9" xfId="0" applyFont="1" applyBorder="1" applyAlignment="1">
      <alignment horizontal="centerContinuous"/>
    </xf>
    <xf numFmtId="0" fontId="0" fillId="0" borderId="0" xfId="0" applyAlignment="1">
      <alignment horizontal="centerContinuous"/>
    </xf>
    <xf numFmtId="164" fontId="4" fillId="0" borderId="0" xfId="0" applyNumberFormat="1" applyFont="1"/>
    <xf numFmtId="9" fontId="7" fillId="0" borderId="0" xfId="2" applyFont="1" applyAlignment="1">
      <alignment horizontal="right" indent="2"/>
    </xf>
    <xf numFmtId="9" fontId="0" fillId="0" borderId="0" xfId="0" applyNumberFormat="1" applyAlignment="1">
      <alignment horizontal="right" indent="2"/>
    </xf>
    <xf numFmtId="9" fontId="7" fillId="0" borderId="7" xfId="2" applyFont="1" applyBorder="1" applyAlignment="1">
      <alignment horizontal="right" indent="2"/>
    </xf>
    <xf numFmtId="0" fontId="9" fillId="0" borderId="0" xfId="0" applyFont="1" applyAlignment="1">
      <alignment horizontal="left"/>
    </xf>
    <xf numFmtId="0" fontId="4" fillId="0" borderId="0" xfId="0" applyFont="1" applyAlignment="1">
      <alignment wrapText="1"/>
    </xf>
    <xf numFmtId="3" fontId="74" fillId="33" borderId="0" xfId="14" applyFont="1"/>
    <xf numFmtId="164" fontId="37" fillId="0" borderId="0" xfId="6" applyNumberFormat="1" applyFont="1" applyBorder="1" applyAlignment="1">
      <alignment horizontal="right" vertical="center"/>
    </xf>
    <xf numFmtId="0" fontId="37" fillId="0" borderId="0" xfId="0" applyFont="1" applyAlignment="1">
      <alignment horizontal="right"/>
    </xf>
    <xf numFmtId="164" fontId="70" fillId="0" borderId="0" xfId="19" applyNumberFormat="1"/>
    <xf numFmtId="164" fontId="70" fillId="0" borderId="7" xfId="19" applyNumberFormat="1" applyBorder="1"/>
    <xf numFmtId="164" fontId="70" fillId="0" borderId="0" xfId="19" applyNumberFormat="1" applyBorder="1" applyAlignment="1">
      <alignment horizontal="right" vertical="center"/>
    </xf>
    <xf numFmtId="0" fontId="53" fillId="32" borderId="0" xfId="0" applyFont="1" applyFill="1" applyAlignment="1">
      <alignment horizontal="right"/>
    </xf>
    <xf numFmtId="0" fontId="53" fillId="32" borderId="0" xfId="0" applyFont="1" applyFill="1"/>
    <xf numFmtId="164" fontId="53" fillId="32" borderId="0" xfId="6" applyNumberFormat="1" applyFont="1" applyFill="1"/>
    <xf numFmtId="3" fontId="37" fillId="0" borderId="0" xfId="0" applyNumberFormat="1" applyFont="1"/>
    <xf numFmtId="164" fontId="37" fillId="0" borderId="0" xfId="6" applyNumberFormat="1" applyFont="1"/>
    <xf numFmtId="0" fontId="37" fillId="32" borderId="0" xfId="0" applyFont="1" applyFill="1"/>
    <xf numFmtId="164" fontId="37" fillId="0" borderId="0" xfId="6" applyNumberFormat="1" applyFont="1" applyBorder="1"/>
    <xf numFmtId="0" fontId="37" fillId="0" borderId="14" xfId="0" applyFont="1" applyBorder="1"/>
    <xf numFmtId="164" fontId="37" fillId="0" borderId="14" xfId="6" applyNumberFormat="1" applyFont="1" applyBorder="1"/>
    <xf numFmtId="0" fontId="76" fillId="0" borderId="0" xfId="0" applyFont="1" applyAlignment="1">
      <alignment wrapText="1"/>
    </xf>
    <xf numFmtId="0" fontId="57" fillId="0" borderId="0" xfId="0" applyFont="1" applyAlignment="1">
      <alignment wrapText="1"/>
    </xf>
    <xf numFmtId="3" fontId="70" fillId="0" borderId="0" xfId="19" applyNumberFormat="1" applyAlignment="1">
      <alignment wrapText="1"/>
    </xf>
    <xf numFmtId="3" fontId="9" fillId="0" borderId="0" xfId="0" applyNumberFormat="1" applyFont="1"/>
    <xf numFmtId="3" fontId="77" fillId="0" borderId="0" xfId="0" applyNumberFormat="1" applyFont="1"/>
    <xf numFmtId="0" fontId="45" fillId="0" borderId="14" xfId="0" applyFont="1" applyBorder="1" applyAlignment="1">
      <alignment horizontal="right"/>
    </xf>
    <xf numFmtId="3" fontId="35" fillId="0" borderId="0" xfId="0" applyNumberFormat="1" applyFont="1"/>
    <xf numFmtId="3" fontId="78" fillId="0" borderId="0" xfId="0" applyNumberFormat="1" applyFont="1"/>
    <xf numFmtId="3" fontId="0" fillId="0" borderId="0" xfId="0" applyNumberFormat="1" applyAlignment="1">
      <alignment horizontal="right"/>
    </xf>
    <xf numFmtId="3" fontId="70" fillId="0" borderId="0" xfId="19" applyNumberFormat="1" applyAlignment="1">
      <alignment horizontal="right"/>
    </xf>
    <xf numFmtId="3" fontId="33" fillId="0" borderId="0" xfId="0" applyNumberFormat="1" applyFont="1" applyAlignment="1">
      <alignment wrapText="1"/>
    </xf>
    <xf numFmtId="3" fontId="30" fillId="0" borderId="0" xfId="0" applyNumberFormat="1" applyFont="1" applyAlignment="1">
      <alignment horizontal="right" indent="1"/>
    </xf>
    <xf numFmtId="9" fontId="30" fillId="0" borderId="0" xfId="2" applyFont="1" applyAlignment="1">
      <alignment horizontal="right" indent="1"/>
    </xf>
    <xf numFmtId="9" fontId="30" fillId="0" borderId="0" xfId="0" applyNumberFormat="1" applyFont="1" applyAlignment="1">
      <alignment horizontal="right" indent="1"/>
    </xf>
    <xf numFmtId="0" fontId="73" fillId="0" borderId="9" xfId="79" applyFont="1" applyBorder="1" applyAlignment="1">
      <alignment wrapText="1"/>
    </xf>
    <xf numFmtId="0" fontId="73" fillId="0" borderId="9" xfId="79" applyFont="1" applyBorder="1" applyAlignment="1">
      <alignment horizontal="centerContinuous" wrapText="1"/>
    </xf>
    <xf numFmtId="3" fontId="45" fillId="0" borderId="14" xfId="0" applyNumberFormat="1" applyFont="1" applyBorder="1" applyAlignment="1">
      <alignment horizontal="right" indent="1"/>
    </xf>
    <xf numFmtId="9" fontId="45" fillId="0" borderId="14" xfId="2" applyFont="1" applyBorder="1" applyAlignment="1">
      <alignment horizontal="right" indent="1"/>
    </xf>
    <xf numFmtId="0" fontId="70" fillId="0" borderId="0" xfId="19" applyAlignment="1">
      <alignment horizontal="left" wrapText="1"/>
    </xf>
    <xf numFmtId="0" fontId="1" fillId="0" borderId="0" xfId="0" applyFont="1"/>
    <xf numFmtId="0" fontId="73" fillId="0" borderId="0" xfId="79" applyFont="1"/>
    <xf numFmtId="9" fontId="30" fillId="0" borderId="0" xfId="2" applyFont="1" applyAlignment="1">
      <alignment horizontal="right" wrapText="1" indent="1"/>
    </xf>
    <xf numFmtId="9" fontId="30" fillId="0" borderId="7" xfId="0" applyNumberFormat="1" applyFont="1" applyBorder="1" applyAlignment="1">
      <alignment horizontal="right" indent="1"/>
    </xf>
    <xf numFmtId="9" fontId="30" fillId="0" borderId="7" xfId="2" applyFont="1" applyBorder="1" applyAlignment="1">
      <alignment horizontal="right" wrapText="1" indent="1"/>
    </xf>
    <xf numFmtId="0" fontId="75" fillId="40" borderId="0" xfId="0" applyFont="1" applyFill="1" applyAlignment="1">
      <alignment horizontal="center"/>
    </xf>
    <xf numFmtId="9" fontId="37" fillId="0" borderId="0" xfId="2" applyFont="1"/>
    <xf numFmtId="9" fontId="33" fillId="0" borderId="0" xfId="2" applyFont="1" applyAlignment="1">
      <alignment horizontal="right"/>
    </xf>
    <xf numFmtId="9" fontId="30" fillId="0" borderId="15" xfId="2" applyFont="1" applyBorder="1" applyAlignment="1">
      <alignment horizontal="right"/>
    </xf>
    <xf numFmtId="9" fontId="30" fillId="0" borderId="0" xfId="2" applyFont="1" applyBorder="1" applyAlignment="1">
      <alignment horizontal="right"/>
    </xf>
    <xf numFmtId="9" fontId="49" fillId="0" borderId="15" xfId="2" applyFont="1" applyBorder="1" applyAlignment="1">
      <alignment horizontal="right"/>
    </xf>
    <xf numFmtId="9" fontId="49" fillId="0" borderId="0" xfId="2" applyFont="1" applyBorder="1" applyAlignment="1">
      <alignment horizontal="right"/>
    </xf>
    <xf numFmtId="0" fontId="45" fillId="36" borderId="15" xfId="0" applyFont="1" applyFill="1" applyBorder="1" applyAlignment="1">
      <alignment horizontal="right"/>
    </xf>
    <xf numFmtId="0" fontId="45" fillId="36" borderId="0" xfId="0" applyFont="1" applyFill="1" applyAlignment="1">
      <alignment horizontal="right"/>
    </xf>
    <xf numFmtId="9" fontId="30" fillId="0" borderId="19" xfId="2" applyFont="1" applyBorder="1" applyAlignment="1">
      <alignment horizontal="right"/>
    </xf>
    <xf numFmtId="9" fontId="30" fillId="0" borderId="14" xfId="2" applyFont="1" applyBorder="1" applyAlignment="1">
      <alignment horizontal="right"/>
    </xf>
    <xf numFmtId="0" fontId="38" fillId="0" borderId="0" xfId="19" applyFont="1" applyAlignment="1"/>
    <xf numFmtId="0" fontId="70" fillId="0" borderId="0" xfId="19" applyAlignment="1">
      <alignment vertical="top"/>
    </xf>
    <xf numFmtId="0" fontId="70" fillId="0" borderId="0" xfId="19" applyAlignment="1">
      <alignment vertical="top" wrapText="1"/>
    </xf>
    <xf numFmtId="0" fontId="70" fillId="0" borderId="0" xfId="19" applyAlignment="1">
      <alignment vertical="center"/>
    </xf>
    <xf numFmtId="3" fontId="30" fillId="0" borderId="7" xfId="0" applyNumberFormat="1" applyFont="1" applyBorder="1" applyAlignment="1">
      <alignment horizontal="right" indent="1"/>
    </xf>
    <xf numFmtId="9" fontId="30" fillId="0" borderId="7" xfId="2" applyFont="1" applyBorder="1" applyAlignment="1">
      <alignment horizontal="right" indent="1"/>
    </xf>
    <xf numFmtId="9" fontId="7" fillId="0" borderId="0" xfId="0" applyNumberFormat="1" applyFont="1" applyAlignment="1">
      <alignment wrapText="1"/>
    </xf>
    <xf numFmtId="9" fontId="7" fillId="0" borderId="7" xfId="2" applyFont="1" applyBorder="1" applyAlignment="1">
      <alignment wrapText="1"/>
    </xf>
    <xf numFmtId="0" fontId="71" fillId="0" borderId="0" xfId="19" applyFont="1" applyAlignment="1">
      <alignment vertical="top"/>
    </xf>
    <xf numFmtId="0" fontId="71" fillId="0" borderId="0" xfId="19" applyFont="1" applyAlignment="1">
      <alignment vertical="center"/>
    </xf>
    <xf numFmtId="3" fontId="7" fillId="0" borderId="7" xfId="0" applyNumberFormat="1" applyFont="1" applyBorder="1" applyAlignment="1">
      <alignment wrapText="1"/>
    </xf>
    <xf numFmtId="0" fontId="7" fillId="0" borderId="7" xfId="0" applyFont="1" applyBorder="1" applyAlignment="1">
      <alignment wrapText="1"/>
    </xf>
    <xf numFmtId="0" fontId="9" fillId="0" borderId="0" xfId="0" applyFont="1" applyAlignment="1">
      <alignment horizontal="left"/>
    </xf>
    <xf numFmtId="0" fontId="21" fillId="0" borderId="0" xfId="0" applyFont="1" applyAlignment="1">
      <alignment horizontal="center"/>
    </xf>
    <xf numFmtId="0" fontId="72" fillId="44" borderId="0" xfId="0" applyFont="1" applyFill="1" applyAlignment="1">
      <alignment horizontal="left" vertical="top" wrapText="1"/>
    </xf>
    <xf numFmtId="0" fontId="40" fillId="35" borderId="1" xfId="3" applyAlignment="1">
      <alignment horizontal="left" vertical="center"/>
    </xf>
    <xf numFmtId="0" fontId="42" fillId="34" borderId="1" xfId="4" applyAlignment="1">
      <alignment horizontal="left" vertical="center"/>
    </xf>
    <xf numFmtId="3" fontId="41" fillId="47" borderId="0" xfId="14" applyFill="1" applyAlignment="1">
      <alignment horizontal="center" vertical="center"/>
    </xf>
    <xf numFmtId="0" fontId="32" fillId="46" borderId="0" xfId="80" applyFill="1" applyAlignment="1">
      <alignment horizontal="center" vertical="center"/>
    </xf>
    <xf numFmtId="0" fontId="70" fillId="45" borderId="0" xfId="19" applyFill="1" applyAlignment="1">
      <alignment horizontal="center" vertical="center"/>
    </xf>
    <xf numFmtId="0" fontId="42" fillId="34" borderId="1" xfId="4" applyAlignment="1">
      <alignment horizontal="center"/>
    </xf>
    <xf numFmtId="0" fontId="4" fillId="0" borderId="0" xfId="0" applyFont="1" applyAlignment="1">
      <alignment horizontal="center"/>
    </xf>
    <xf numFmtId="3" fontId="59" fillId="2" borderId="0" xfId="10" applyNumberFormat="1" applyFont="1" applyFill="1" applyAlignment="1">
      <alignment horizontal="center" vertical="center"/>
    </xf>
    <xf numFmtId="0" fontId="45" fillId="2" borderId="0" xfId="19" applyFont="1" applyFill="1" applyAlignment="1">
      <alignment horizontal="center" vertical="center" wrapText="1"/>
    </xf>
    <xf numFmtId="0" fontId="38" fillId="0" borderId="13" xfId="19" applyFont="1" applyBorder="1" applyAlignment="1">
      <alignment horizontal="left" wrapText="1"/>
    </xf>
    <xf numFmtId="0" fontId="38" fillId="0" borderId="0" xfId="19" applyFont="1" applyAlignment="1">
      <alignment horizontal="left" wrapText="1"/>
    </xf>
    <xf numFmtId="0" fontId="48" fillId="0" borderId="0" xfId="79" applyAlignment="1">
      <alignment horizontal="left" wrapText="1"/>
    </xf>
    <xf numFmtId="0" fontId="38" fillId="0" borderId="0" xfId="19" applyFont="1" applyAlignment="1">
      <alignment horizontal="left" vertical="top" wrapText="1"/>
    </xf>
    <xf numFmtId="0" fontId="45" fillId="0" borderId="9" xfId="0" applyFont="1" applyBorder="1" applyAlignment="1">
      <alignment horizontal="center"/>
    </xf>
    <xf numFmtId="0" fontId="38" fillId="0" borderId="13" xfId="19" applyFont="1" applyFill="1" applyBorder="1" applyAlignment="1">
      <alignment horizontal="left" wrapText="1"/>
    </xf>
    <xf numFmtId="0" fontId="38" fillId="0" borderId="0" xfId="19" applyFont="1" applyFill="1" applyBorder="1" applyAlignment="1">
      <alignment horizontal="left" wrapText="1"/>
    </xf>
    <xf numFmtId="3" fontId="27" fillId="0" borderId="0" xfId="0" applyNumberFormat="1" applyFont="1" applyAlignment="1">
      <alignment horizontal="right" vertical="center" wrapText="1"/>
    </xf>
    <xf numFmtId="3" fontId="34" fillId="0" borderId="0" xfId="0" applyNumberFormat="1" applyFont="1" applyAlignment="1">
      <alignment horizontal="right" vertical="center" wrapText="1"/>
    </xf>
    <xf numFmtId="3" fontId="66" fillId="0" borderId="0" xfId="0" applyNumberFormat="1" applyFont="1" applyAlignment="1">
      <alignment horizontal="right" vertical="center" wrapText="1"/>
    </xf>
    <xf numFmtId="3" fontId="67" fillId="0" borderId="0" xfId="0" applyNumberFormat="1" applyFont="1" applyAlignment="1">
      <alignment horizontal="right" vertical="center" wrapText="1"/>
    </xf>
    <xf numFmtId="3" fontId="34" fillId="0" borderId="0" xfId="0" applyNumberFormat="1" applyFont="1" applyAlignment="1">
      <alignment horizontal="center" vertical="center" wrapText="1"/>
    </xf>
    <xf numFmtId="3" fontId="66" fillId="0" borderId="9" xfId="0" applyNumberFormat="1" applyFont="1" applyBorder="1" applyAlignment="1">
      <alignment horizontal="center" wrapText="1"/>
    </xf>
    <xf numFmtId="3" fontId="66" fillId="0" borderId="0" xfId="0" applyNumberFormat="1" applyFont="1" applyAlignment="1">
      <alignment horizontal="center" wrapText="1"/>
    </xf>
    <xf numFmtId="0" fontId="38" fillId="0" borderId="0" xfId="19" applyFont="1" applyAlignment="1">
      <alignment horizontal="left" vertical="center" wrapText="1"/>
    </xf>
    <xf numFmtId="3" fontId="66" fillId="0" borderId="16" xfId="0" applyNumberFormat="1" applyFont="1" applyBorder="1" applyAlignment="1">
      <alignment horizontal="center" vertical="center"/>
    </xf>
    <xf numFmtId="3" fontId="66" fillId="0" borderId="18" xfId="0" applyNumberFormat="1" applyFont="1" applyBorder="1" applyAlignment="1">
      <alignment horizontal="center" vertical="center"/>
    </xf>
    <xf numFmtId="3" fontId="66" fillId="0" borderId="0" xfId="0" applyNumberFormat="1" applyFont="1" applyAlignment="1">
      <alignment horizontal="center" vertical="center" wrapText="1"/>
    </xf>
    <xf numFmtId="3" fontId="66" fillId="0" borderId="7" xfId="0" applyNumberFormat="1" applyFont="1" applyBorder="1" applyAlignment="1">
      <alignment horizontal="center" vertical="center" wrapText="1"/>
    </xf>
    <xf numFmtId="3" fontId="66" fillId="0" borderId="15" xfId="0" applyNumberFormat="1" applyFont="1" applyBorder="1" applyAlignment="1">
      <alignment horizontal="center" vertical="center" wrapText="1"/>
    </xf>
    <xf numFmtId="3" fontId="66" fillId="0" borderId="17" xfId="0" applyNumberFormat="1" applyFont="1" applyBorder="1" applyAlignment="1">
      <alignment horizontal="center" vertical="center" wrapText="1"/>
    </xf>
    <xf numFmtId="0" fontId="69" fillId="0" borderId="0" xfId="0" applyFont="1" applyAlignment="1">
      <alignment horizontal="center" vertical="top" wrapText="1"/>
    </xf>
    <xf numFmtId="3" fontId="0" fillId="0" borderId="0" xfId="0" applyNumberFormat="1" applyAlignment="1">
      <alignment horizontal="center"/>
    </xf>
    <xf numFmtId="0" fontId="69" fillId="0" borderId="0" xfId="0" applyFont="1" applyAlignment="1">
      <alignment horizontal="center" vertical="center" wrapText="1"/>
    </xf>
    <xf numFmtId="0" fontId="47" fillId="0" borderId="23" xfId="0" applyFont="1" applyBorder="1" applyAlignment="1">
      <alignment horizontal="left" vertical="center" wrapText="1"/>
    </xf>
    <xf numFmtId="0" fontId="47" fillId="0" borderId="24" xfId="0" applyFont="1" applyBorder="1" applyAlignment="1">
      <alignment horizontal="left" vertical="center" wrapText="1"/>
    </xf>
    <xf numFmtId="0" fontId="68" fillId="0" borderId="25" xfId="0" applyFont="1" applyBorder="1" applyAlignment="1">
      <alignment horizontal="left" vertical="center" wrapText="1"/>
    </xf>
    <xf numFmtId="0" fontId="68" fillId="0" borderId="26" xfId="0" applyFont="1" applyBorder="1" applyAlignment="1">
      <alignment horizontal="left" vertical="center" wrapText="1"/>
    </xf>
    <xf numFmtId="0" fontId="68" fillId="0" borderId="27" xfId="0" applyFont="1" applyBorder="1" applyAlignment="1">
      <alignment horizontal="left" vertical="center" wrapText="1"/>
    </xf>
    <xf numFmtId="0" fontId="68" fillId="0" borderId="28" xfId="0" applyFont="1" applyBorder="1" applyAlignment="1">
      <alignment horizontal="left" vertical="center" wrapText="1"/>
    </xf>
    <xf numFmtId="0" fontId="70" fillId="0" borderId="0" xfId="19" applyAlignment="1">
      <alignment horizontal="left" vertical="top" wrapText="1"/>
    </xf>
    <xf numFmtId="0" fontId="70" fillId="0" borderId="13" xfId="19" applyBorder="1" applyAlignment="1">
      <alignment horizontal="left" vertical="center" wrapText="1"/>
    </xf>
    <xf numFmtId="0" fontId="70" fillId="0" borderId="0" xfId="19" applyAlignment="1">
      <alignment horizontal="left" vertical="center" wrapText="1"/>
    </xf>
    <xf numFmtId="0" fontId="47" fillId="0" borderId="25" xfId="0" applyFont="1" applyBorder="1" applyAlignment="1">
      <alignment horizontal="left" vertical="top" wrapText="1"/>
    </xf>
    <xf numFmtId="0" fontId="47" fillId="0" borderId="26" xfId="0" applyFont="1" applyBorder="1" applyAlignment="1">
      <alignment horizontal="left" vertical="top" wrapText="1"/>
    </xf>
    <xf numFmtId="0" fontId="47" fillId="0" borderId="27" xfId="0" applyFont="1" applyBorder="1" applyAlignment="1">
      <alignment horizontal="left" vertical="top" wrapText="1"/>
    </xf>
    <xf numFmtId="0" fontId="47" fillId="0" borderId="28" xfId="0" applyFont="1" applyBorder="1" applyAlignment="1">
      <alignment horizontal="left" vertical="top" wrapText="1"/>
    </xf>
    <xf numFmtId="0" fontId="30" fillId="0" borderId="0" xfId="0" applyFont="1" applyAlignment="1">
      <alignment horizontal="center" wrapText="1"/>
    </xf>
    <xf numFmtId="0" fontId="30" fillId="0" borderId="7" xfId="0" applyFont="1" applyBorder="1" applyAlignment="1">
      <alignment horizontal="center" wrapText="1"/>
    </xf>
    <xf numFmtId="0" fontId="48" fillId="0" borderId="0" xfId="79" applyAlignment="1">
      <alignment horizontal="left" vertical="top" wrapText="1"/>
    </xf>
    <xf numFmtId="0" fontId="4" fillId="0" borderId="0" xfId="0" applyFont="1" applyAlignment="1">
      <alignment horizontal="center" wrapText="1"/>
    </xf>
    <xf numFmtId="0" fontId="55" fillId="0" borderId="22" xfId="0" applyFont="1" applyBorder="1" applyAlignment="1">
      <alignment horizontal="center" vertical="top" wrapText="1"/>
    </xf>
    <xf numFmtId="0" fontId="66" fillId="0" borderId="0" xfId="0" applyFont="1" applyAlignment="1">
      <alignment horizontal="center" vertical="center" wrapText="1"/>
    </xf>
    <xf numFmtId="0" fontId="66" fillId="0" borderId="0" xfId="0" applyFont="1" applyAlignment="1">
      <alignment horizontal="center" vertical="center"/>
    </xf>
    <xf numFmtId="0" fontId="70" fillId="0" borderId="0" xfId="19" applyAlignment="1">
      <alignment horizontal="left" wrapText="1"/>
    </xf>
    <xf numFmtId="0" fontId="56" fillId="0" borderId="22" xfId="0" applyFont="1" applyBorder="1" applyAlignment="1">
      <alignment horizontal="center" vertical="top" wrapText="1"/>
    </xf>
    <xf numFmtId="0" fontId="34" fillId="0" borderId="0" xfId="0" applyFont="1" applyAlignment="1">
      <alignment horizontal="left" wrapText="1"/>
    </xf>
    <xf numFmtId="0" fontId="27" fillId="0" borderId="0" xfId="0" applyFont="1" applyAlignment="1">
      <alignment horizontal="center" vertical="center" wrapText="1"/>
    </xf>
    <xf numFmtId="0" fontId="57" fillId="0" borderId="9" xfId="0" applyFont="1" applyBorder="1" applyAlignment="1">
      <alignment horizontal="center" wrapText="1"/>
    </xf>
    <xf numFmtId="0" fontId="57" fillId="0" borderId="0" xfId="0" applyFont="1" applyAlignment="1">
      <alignment horizontal="center" wrapText="1"/>
    </xf>
    <xf numFmtId="0" fontId="62" fillId="34" borderId="21" xfId="4" applyFont="1" applyBorder="1" applyAlignment="1">
      <alignment horizontal="center"/>
    </xf>
    <xf numFmtId="0" fontId="62" fillId="34" borderId="0" xfId="4" applyFont="1" applyBorder="1" applyAlignment="1">
      <alignment horizontal="center"/>
    </xf>
    <xf numFmtId="0" fontId="53" fillId="0" borderId="9" xfId="0" applyFont="1" applyBorder="1" applyAlignment="1">
      <alignment horizontal="center" wrapText="1"/>
    </xf>
    <xf numFmtId="0" fontId="53" fillId="0" borderId="0" xfId="0" applyFont="1" applyAlignment="1">
      <alignment horizontal="center" wrapText="1"/>
    </xf>
    <xf numFmtId="0" fontId="53" fillId="0" borderId="7" xfId="0" applyFont="1" applyBorder="1" applyAlignment="1">
      <alignment horizontal="center" wrapText="1"/>
    </xf>
    <xf numFmtId="0" fontId="37" fillId="0" borderId="9" xfId="0" applyFont="1" applyBorder="1" applyAlignment="1">
      <alignment horizontal="center"/>
    </xf>
    <xf numFmtId="0" fontId="37" fillId="0" borderId="0" xfId="0" applyFont="1" applyAlignment="1">
      <alignment horizontal="center"/>
    </xf>
    <xf numFmtId="0" fontId="37" fillId="0" borderId="7" xfId="0" applyFont="1" applyBorder="1" applyAlignment="1">
      <alignment horizontal="center"/>
    </xf>
    <xf numFmtId="0" fontId="63" fillId="0" borderId="0" xfId="79" applyFont="1" applyAlignment="1">
      <alignment horizontal="left" vertical="top" wrapText="1"/>
    </xf>
    <xf numFmtId="0" fontId="63" fillId="0" borderId="0" xfId="79" applyFont="1" applyAlignment="1">
      <alignment horizontal="left" wrapText="1"/>
    </xf>
    <xf numFmtId="0" fontId="63" fillId="0" borderId="0" xfId="79" applyFont="1" applyAlignment="1">
      <alignment horizontal="left" vertical="center" wrapText="1"/>
    </xf>
    <xf numFmtId="0" fontId="63" fillId="0" borderId="14" xfId="79" applyFont="1" applyBorder="1" applyAlignment="1">
      <alignment horizontal="left" vertical="center" wrapText="1"/>
    </xf>
    <xf numFmtId="0" fontId="71" fillId="0" borderId="0" xfId="19" applyFont="1" applyBorder="1" applyAlignment="1">
      <alignment horizontal="left" vertical="top" wrapText="1"/>
    </xf>
    <xf numFmtId="0" fontId="71" fillId="0" borderId="0" xfId="19" applyFont="1" applyAlignment="1">
      <alignment horizontal="left" vertical="top" wrapText="1"/>
    </xf>
    <xf numFmtId="0" fontId="71" fillId="0" borderId="9" xfId="19" applyFont="1" applyBorder="1" applyAlignment="1">
      <alignment horizontal="left" vertical="top" wrapText="1"/>
    </xf>
    <xf numFmtId="0" fontId="7" fillId="0" borderId="9" xfId="0" applyFont="1" applyBorder="1" applyAlignment="1">
      <alignment horizontal="center"/>
    </xf>
    <xf numFmtId="0" fontId="7" fillId="0" borderId="0" xfId="0" applyFont="1" applyAlignment="1">
      <alignment horizontal="center"/>
    </xf>
    <xf numFmtId="0" fontId="7" fillId="0" borderId="7" xfId="0" applyFont="1" applyBorder="1" applyAlignment="1">
      <alignment horizontal="center"/>
    </xf>
    <xf numFmtId="3" fontId="34" fillId="0" borderId="0" xfId="0" applyNumberFormat="1" applyFont="1" applyAlignment="1">
      <alignment horizontal="center" wrapText="1"/>
    </xf>
    <xf numFmtId="0" fontId="0" fillId="0" borderId="0" xfId="0" applyAlignment="1">
      <alignment horizontal="center" vertical="center"/>
    </xf>
  </cellXfs>
  <cellStyles count="81">
    <cellStyle name="20% - Accent1" xfId="22" builtinId="30" customBuiltin="1"/>
    <cellStyle name="20% - Accent2" xfId="26" builtinId="34" customBuiltin="1"/>
    <cellStyle name="20% - Accent2 2" xfId="58"/>
    <cellStyle name="20% - Accent3" xfId="30" builtinId="38" customBuiltin="1"/>
    <cellStyle name="20% - Accent3 2" xfId="62"/>
    <cellStyle name="20% - Accent4" xfId="34" builtinId="42" customBuiltin="1"/>
    <cellStyle name="20% - Accent4 2" xfId="66"/>
    <cellStyle name="20% - Accent5" xfId="38" builtinId="46" customBuiltin="1"/>
    <cellStyle name="20% - Accent5 2" xfId="70"/>
    <cellStyle name="20% - Accent6" xfId="42" builtinId="50" customBuiltin="1"/>
    <cellStyle name="20% - Accent6 2" xfId="74"/>
    <cellStyle name="40% - Accent1" xfId="23" builtinId="31" customBuiltin="1"/>
    <cellStyle name="40% - Accent1 2" xfId="55"/>
    <cellStyle name="40% - Accent2" xfId="27" builtinId="35" customBuiltin="1"/>
    <cellStyle name="40% - Accent2 2" xfId="59"/>
    <cellStyle name="40% - Accent3" xfId="31" builtinId="39" customBuiltin="1"/>
    <cellStyle name="40% - Accent3 2" xfId="63"/>
    <cellStyle name="40% - Accent4" xfId="35" builtinId="43" customBuiltin="1"/>
    <cellStyle name="40% - Accent4 2" xfId="67"/>
    <cellStyle name="40% - Accent5" xfId="39" builtinId="47" customBuiltin="1"/>
    <cellStyle name="40% - Accent5 2" xfId="71"/>
    <cellStyle name="40% - Accent6" xfId="43" builtinId="51" customBuiltin="1"/>
    <cellStyle name="40% - Accent6 2" xfId="75"/>
    <cellStyle name="60% - Accent1" xfId="24" builtinId="32" customBuiltin="1"/>
    <cellStyle name="60% - Accent1 2" xfId="56"/>
    <cellStyle name="60% - Accent1 3" xfId="48"/>
    <cellStyle name="60% - Accent2" xfId="28" builtinId="36" customBuiltin="1"/>
    <cellStyle name="60% - Accent2 2" xfId="60"/>
    <cellStyle name="60% - Accent2 3" xfId="47"/>
    <cellStyle name="60% - Accent3" xfId="32" builtinId="40" customBuiltin="1"/>
    <cellStyle name="60% - Accent3 2" xfId="64"/>
    <cellStyle name="60% - Accent3 3" xfId="46"/>
    <cellStyle name="60% - Accent4" xfId="36" builtinId="44" customBuiltin="1"/>
    <cellStyle name="60% - Accent4 2" xfId="68"/>
    <cellStyle name="60% - Accent4 3" xfId="45"/>
    <cellStyle name="60% - Accent5" xfId="40" builtinId="48" customBuiltin="1"/>
    <cellStyle name="60% - Accent5 2" xfId="72"/>
    <cellStyle name="60% - Accent5 3" xfId="49"/>
    <cellStyle name="60% - Accent6" xfId="44" builtinId="52" customBuiltin="1"/>
    <cellStyle name="60% - Accent6 2" xfId="76"/>
    <cellStyle name="60% - Accent6 3" xfId="50"/>
    <cellStyle name="Accent1" xfId="21" builtinId="29" customBuiltin="1"/>
    <cellStyle name="Accent1 2" xfId="54"/>
    <cellStyle name="Accent2" xfId="25" builtinId="33" customBuiltin="1"/>
    <cellStyle name="Accent2 2" xfId="57"/>
    <cellStyle name="Accent3" xfId="29" builtinId="37" customBuiltin="1"/>
    <cellStyle name="Accent3 2" xfId="61"/>
    <cellStyle name="Accent4" xfId="33" builtinId="41" customBuiltin="1"/>
    <cellStyle name="Accent4 2" xfId="65"/>
    <cellStyle name="Accent5" xfId="37" builtinId="45" customBuiltin="1"/>
    <cellStyle name="Accent5 2" xfId="69"/>
    <cellStyle name="Accent6" xfId="41" builtinId="49" customBuiltin="1"/>
    <cellStyle name="Accent6 2" xfId="73"/>
    <cellStyle name="Bad" xfId="12" builtinId="27" hidden="1" customBuiltin="1"/>
    <cellStyle name="Bad 2" xfId="51"/>
    <cellStyle name="Calculation" xfId="4" builtinId="22" customBuiltin="1"/>
    <cellStyle name="Check Cell" xfId="16" builtinId="23" hidden="1" customBuiltin="1"/>
    <cellStyle name="Check Cell 2" xfId="52"/>
    <cellStyle name="Comma" xfId="6" builtinId="3"/>
    <cellStyle name="Estimate Name 2" xfId="80"/>
    <cellStyle name="Explanatory Text" xfId="19" builtinId="53" customBuiltin="1"/>
    <cellStyle name="Explanatory Text 2" xfId="53"/>
    <cellStyle name="Followed Hyperlink" xfId="78" builtinId="9" hidden="1"/>
    <cellStyle name="Good" xfId="11" builtinId="26" hidden="1" customBuiltin="1"/>
    <cellStyle name="Graphic Title" xfId="79"/>
    <cellStyle name="Heading 1" xfId="1" builtinId="16" customBuiltin="1"/>
    <cellStyle name="Heading 2" xfId="8" builtinId="17" customBuiltin="1"/>
    <cellStyle name="Heading 3" xfId="9" builtinId="18" customBuiltin="1"/>
    <cellStyle name="Heading 4" xfId="10" builtinId="19" customBuiltin="1"/>
    <cellStyle name="Hyperlink" xfId="5" builtinId="8"/>
    <cellStyle name="Hyperlink 2" xfId="77"/>
    <cellStyle name="Input" xfId="3" builtinId="20" customBuiltin="1"/>
    <cellStyle name="Linked Cell" xfId="15" builtinId="24" hidden="1" customBuiltin="1"/>
    <cellStyle name="Neutral" xfId="13" builtinId="28" hidden="1" customBuiltin="1"/>
    <cellStyle name="Normal" xfId="0" builtinId="0"/>
    <cellStyle name="Note" xfId="18" builtinId="10" hidden="1" customBuiltin="1"/>
    <cellStyle name="Output" xfId="14" builtinId="21" customBuiltin="1"/>
    <cellStyle name="Percent" xfId="2" builtinId="5"/>
    <cellStyle name="Title" xfId="7" builtinId="15" hidden="1" customBuiltin="1"/>
    <cellStyle name="Total" xfId="20" builtinId="25" hidden="1" customBuiltin="1"/>
    <cellStyle name="Warning Text" xfId="17" builtinId="11" customBuiltin="1"/>
  </cellStyles>
  <dxfs count="3">
    <dxf>
      <fill>
        <patternFill>
          <bgColor theme="5" tint="0.79998168889431442"/>
        </patternFill>
      </fill>
    </dxf>
    <dxf>
      <font>
        <b/>
        <i val="0"/>
        <color theme="5"/>
      </font>
      <fill>
        <patternFill>
          <bgColor theme="5" tint="0.79998168889431442"/>
        </patternFill>
      </fill>
    </dxf>
    <dxf>
      <font>
        <b/>
        <i val="0"/>
        <color theme="5"/>
      </font>
    </dxf>
  </dxfs>
  <tableStyles count="3" defaultTableStyle="TableStyleMedium2" defaultPivotStyle="PivotStyleLight16">
    <tableStyle name="Base" pivot="0" count="0"/>
    <tableStyle name="Invisible" pivot="0" table="0" count="0"/>
    <tableStyle name="Table Style 1" pivot="0" count="0"/>
  </tableStyles>
  <colors>
    <mruColors>
      <color rgb="FF595959"/>
      <color rgb="FF3F6075"/>
      <color rgb="FFFDF0E9"/>
      <color rgb="FFEEFAFC"/>
      <color rgb="FFF4A251"/>
      <color rgb="FF000000"/>
      <color rgb="FF28A5BC"/>
      <color rgb="FFE04626"/>
      <color rgb="FFDF4727"/>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openxmlformats.org/officeDocument/2006/relationships/chartUserShapes" Target="../drawings/drawing10.xml"/><Relationship Id="rId1" Type="http://schemas.openxmlformats.org/officeDocument/2006/relationships/themeOverride" Target="../theme/themeOverride3.xml"/></Relationships>
</file>

<file path=xl/charts/_rels/chart11.xml.rels><?xml version="1.0" encoding="UTF-8" standalone="yes"?>
<Relationships xmlns="http://schemas.openxmlformats.org/package/2006/relationships"><Relationship Id="rId2" Type="http://schemas.openxmlformats.org/officeDocument/2006/relationships/chartUserShapes" Target="../drawings/drawing11.xml"/><Relationship Id="rId1" Type="http://schemas.openxmlformats.org/officeDocument/2006/relationships/themeOverride" Target="../theme/themeOverride4.xml"/></Relationships>
</file>

<file path=xl/charts/_rels/chart12.xml.rels><?xml version="1.0" encoding="UTF-8" standalone="yes"?>
<Relationships xmlns="http://schemas.openxmlformats.org/package/2006/relationships"><Relationship Id="rId2" Type="http://schemas.openxmlformats.org/officeDocument/2006/relationships/chartUserShapes" Target="../drawings/drawing12.xml"/><Relationship Id="rId1" Type="http://schemas.openxmlformats.org/officeDocument/2006/relationships/themeOverride" Target="../theme/themeOverride5.xml"/></Relationships>
</file>

<file path=xl/charts/_rels/chart13.xml.rels><?xml version="1.0" encoding="UTF-8" standalone="yes"?>
<Relationships xmlns="http://schemas.openxmlformats.org/package/2006/relationships"><Relationship Id="rId2" Type="http://schemas.openxmlformats.org/officeDocument/2006/relationships/chartUserShapes" Target="../drawings/drawing13.xml"/><Relationship Id="rId1" Type="http://schemas.openxmlformats.org/officeDocument/2006/relationships/themeOverride" Target="../theme/themeOverride6.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20.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21.xml.rels><?xml version="1.0" encoding="UTF-8" standalone="yes"?>
<Relationships xmlns="http://schemas.openxmlformats.org/package/2006/relationships"><Relationship Id="rId1" Type="http://schemas.openxmlformats.org/officeDocument/2006/relationships/chartUserShapes" Target="../drawings/drawing23.xml"/></Relationships>
</file>

<file path=xl/charts/_rels/chart23.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25.xml.rels><?xml version="1.0" encoding="UTF-8" standalone="yes"?>
<Relationships xmlns="http://schemas.openxmlformats.org/package/2006/relationships"><Relationship Id="rId1" Type="http://schemas.openxmlformats.org/officeDocument/2006/relationships/chartUserShapes" Target="../drawings/drawing25.xml"/></Relationships>
</file>

<file path=xl/charts/_rels/chart26.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27.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28.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29.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6.xml.rels><?xml version="1.0" encoding="UTF-8" standalone="yes"?>
<Relationships xmlns="http://schemas.openxmlformats.org/package/2006/relationships"><Relationship Id="rId2" Type="http://schemas.openxmlformats.org/officeDocument/2006/relationships/chartUserShapes" Target="../drawings/drawing6.xml"/><Relationship Id="rId1" Type="http://schemas.openxmlformats.org/officeDocument/2006/relationships/themeOverride" Target="../theme/themeOverride1.xml"/></Relationships>
</file>

<file path=xl/charts/_rels/chart7.xml.rels><?xml version="1.0" encoding="UTF-8" standalone="yes"?>
<Relationships xmlns="http://schemas.openxmlformats.org/package/2006/relationships"><Relationship Id="rId2" Type="http://schemas.openxmlformats.org/officeDocument/2006/relationships/chartUserShapes" Target="../drawings/drawing7.xml"/><Relationship Id="rId1" Type="http://schemas.openxmlformats.org/officeDocument/2006/relationships/themeOverride" Target="../theme/themeOverride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640216847894011"/>
          <c:y val="3.8815069991251089E-2"/>
          <c:w val="0.67037354705661789"/>
          <c:h val="0.7999529746281715"/>
        </c:manualLayout>
      </c:layout>
      <c:barChart>
        <c:barDir val="bar"/>
        <c:grouping val="clustered"/>
        <c:varyColors val="0"/>
        <c:ser>
          <c:idx val="0"/>
          <c:order val="0"/>
          <c:tx>
            <c:strRef>
              <c:f>'Racial Composition'!$AF$11</c:f>
              <c:strCache>
                <c:ptCount val="1"/>
                <c:pt idx="0">
                  <c:v>2020</c:v>
                </c:pt>
              </c:strCache>
            </c:strRef>
          </c:tx>
          <c:spPr>
            <a:solidFill>
              <a:schemeClr val="accent6"/>
            </a:solidFill>
            <a:ln>
              <a:noFill/>
            </a:ln>
            <a:effectLst/>
          </c:spPr>
          <c:invertIfNegative val="0"/>
          <c:dPt>
            <c:idx val="0"/>
            <c:invertIfNegative val="0"/>
            <c:bubble3D val="0"/>
            <c:spPr>
              <a:solidFill>
                <a:schemeClr val="bg2">
                  <a:lumMod val="50000"/>
                </a:schemeClr>
              </a:solidFill>
              <a:ln>
                <a:noFill/>
              </a:ln>
              <a:effectLst/>
            </c:spPr>
            <c:extLst>
              <c:ext xmlns:c16="http://schemas.microsoft.com/office/drawing/2014/chart" uri="{C3380CC4-5D6E-409C-BE32-E72D297353CC}">
                <c16:uniqueId val="{00000001-61BF-4A03-B0D0-96B4F0B0A646}"/>
              </c:ext>
            </c:extLst>
          </c:dPt>
          <c:dPt>
            <c:idx val="1"/>
            <c:invertIfNegative val="0"/>
            <c:bubble3D val="0"/>
            <c:spPr>
              <a:solidFill>
                <a:schemeClr val="accent1"/>
              </a:solidFill>
              <a:ln>
                <a:noFill/>
              </a:ln>
              <a:effectLst/>
            </c:spPr>
            <c:extLst>
              <c:ext xmlns:c16="http://schemas.microsoft.com/office/drawing/2014/chart" uri="{C3380CC4-5D6E-409C-BE32-E72D297353CC}">
                <c16:uniqueId val="{00000003-61BF-4A03-B0D0-96B4F0B0A646}"/>
              </c:ext>
            </c:extLst>
          </c:dPt>
          <c:dPt>
            <c:idx val="2"/>
            <c:invertIfNegative val="0"/>
            <c:bubble3D val="0"/>
            <c:spPr>
              <a:solidFill>
                <a:schemeClr val="accent3"/>
              </a:solidFill>
              <a:ln>
                <a:noFill/>
              </a:ln>
              <a:effectLst/>
            </c:spPr>
            <c:extLst>
              <c:ext xmlns:c16="http://schemas.microsoft.com/office/drawing/2014/chart" uri="{C3380CC4-5D6E-409C-BE32-E72D297353CC}">
                <c16:uniqueId val="{00000005-61BF-4A03-B0D0-96B4F0B0A646}"/>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7-61BF-4A03-B0D0-96B4F0B0A646}"/>
              </c:ext>
            </c:extLst>
          </c:dPt>
          <c:dLbls>
            <c:dLbl>
              <c:idx val="0"/>
              <c:layout/>
              <c:tx>
                <c:rich>
                  <a:bodyPr/>
                  <a:lstStyle/>
                  <a:p>
                    <a:fld id="{9C5F9DBA-0065-426F-A7E9-30ABC41C4289}"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1-61BF-4A03-B0D0-96B4F0B0A646}"/>
                </c:ext>
              </c:extLst>
            </c:dLbl>
            <c:dLbl>
              <c:idx val="1"/>
              <c:layout/>
              <c:tx>
                <c:rich>
                  <a:bodyPr/>
                  <a:lstStyle/>
                  <a:p>
                    <a:fld id="{F03CD913-A904-49E5-81F0-CF6898ACE8DB}"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61BF-4A03-B0D0-96B4F0B0A646}"/>
                </c:ext>
              </c:extLst>
            </c:dLbl>
            <c:dLbl>
              <c:idx val="2"/>
              <c:layout/>
              <c:tx>
                <c:rich>
                  <a:bodyPr/>
                  <a:lstStyle/>
                  <a:p>
                    <a:fld id="{C9DE0E2D-4394-465D-A8A9-1636BCBBF900}"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61BF-4A03-B0D0-96B4F0B0A646}"/>
                </c:ext>
              </c:extLst>
            </c:dLbl>
            <c:dLbl>
              <c:idx val="3"/>
              <c:layout/>
              <c:tx>
                <c:rich>
                  <a:bodyPr/>
                  <a:lstStyle/>
                  <a:p>
                    <a:fld id="{B0E9D3F7-1DDA-400A-AC62-9D846CCE4187}"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7-61BF-4A03-B0D0-96B4F0B0A646}"/>
                </c:ext>
              </c:extLst>
            </c:dLbl>
            <c:dLbl>
              <c:idx val="4"/>
              <c:layout/>
              <c:tx>
                <c:rich>
                  <a:bodyPr/>
                  <a:lstStyle/>
                  <a:p>
                    <a:fld id="{D1106804-71DB-49DF-9308-7571AAF86404}"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9-61BF-4A03-B0D0-96B4F0B0A646}"/>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1"/>
                <c15:leaderLines>
                  <c:spPr>
                    <a:ln w="9525" cap="flat" cmpd="sng" algn="ctr">
                      <a:solidFill>
                        <a:schemeClr val="tx1">
                          <a:lumMod val="35000"/>
                          <a:lumOff val="65000"/>
                        </a:schemeClr>
                      </a:solidFill>
                      <a:round/>
                    </a:ln>
                    <a:effectLst/>
                  </c:spPr>
                </c15:leaderLines>
              </c:ext>
            </c:extLst>
          </c:dLbls>
          <c:cat>
            <c:strRef>
              <c:f>'Racial Composition'!$AC$26:$AC$30</c:f>
              <c:strCache>
                <c:ptCount val="5"/>
                <c:pt idx="0">
                  <c:v>Asian</c:v>
                </c:pt>
                <c:pt idx="1">
                  <c:v>Black or African American</c:v>
                </c:pt>
                <c:pt idx="2">
                  <c:v>Hispanic or Latino (of any race)</c:v>
                </c:pt>
                <c:pt idx="3">
                  <c:v>Other Race</c:v>
                </c:pt>
                <c:pt idx="4">
                  <c:v>White</c:v>
                </c:pt>
              </c:strCache>
            </c:strRef>
          </c:cat>
          <c:val>
            <c:numRef>
              <c:f>'Racial Composition'!$AF$26:$AF$30</c:f>
              <c:numCache>
                <c:formatCode>#,##0</c:formatCode>
                <c:ptCount val="5"/>
                <c:pt idx="0">
                  <c:v>30</c:v>
                </c:pt>
                <c:pt idx="1">
                  <c:v>0</c:v>
                </c:pt>
                <c:pt idx="2">
                  <c:v>242</c:v>
                </c:pt>
                <c:pt idx="3">
                  <c:v>100</c:v>
                </c:pt>
                <c:pt idx="4">
                  <c:v>603</c:v>
                </c:pt>
              </c:numCache>
            </c:numRef>
          </c:val>
          <c:extLst>
            <c:ext xmlns:c15="http://schemas.microsoft.com/office/drawing/2012/chart" uri="{02D57815-91ED-43cb-92C2-25804820EDAC}">
              <c15:datalabelsRange>
                <c15:f>'Racial Composition'!$AI$26:$AI$30</c15:f>
                <c15:dlblRangeCache>
                  <c:ptCount val="5"/>
                  <c:pt idx="0">
                    <c:v>30
(3%)</c:v>
                  </c:pt>
                  <c:pt idx="1">
                    <c:v>0
(0%)</c:v>
                  </c:pt>
                  <c:pt idx="2">
                    <c:v>242
(25%)</c:v>
                  </c:pt>
                  <c:pt idx="3">
                    <c:v>100
(10%)</c:v>
                  </c:pt>
                  <c:pt idx="4">
                    <c:v>603
(62%)</c:v>
                  </c:pt>
                </c15:dlblRangeCache>
              </c15:datalabelsRange>
            </c:ext>
            <c:ext xmlns:c16="http://schemas.microsoft.com/office/drawing/2014/chart" uri="{C3380CC4-5D6E-409C-BE32-E72D297353CC}">
              <c16:uniqueId val="{0000000F-61BF-4A03-B0D0-96B4F0B0A646}"/>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4275793650793647"/>
              <c:y val="0.93305446194225716"/>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962129733783289"/>
          <c:h val="0.72675978002749653"/>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Burden'!$AE$24:$AJ$24</c15:sqref>
                  </c15:fullRef>
                </c:ext>
              </c:extLst>
              <c:f>('Cost Burden'!$AE$24:$AH$24,'Cost Burden'!$AJ$24)</c:f>
              <c:numCache>
                <c:formatCode>#,##0</c:formatCode>
                <c:ptCount val="5"/>
                <c:pt idx="0">
                  <c:v>0</c:v>
                </c:pt>
                <c:pt idx="1">
                  <c:v>0</c:v>
                </c:pt>
                <c:pt idx="2">
                  <c:v>4</c:v>
                </c:pt>
                <c:pt idx="3">
                  <c:v>0</c:v>
                </c:pt>
                <c:pt idx="4">
                  <c:v>35</c:v>
                </c:pt>
              </c:numCache>
            </c:numRef>
          </c:val>
          <c:extLst>
            <c:ext xmlns:c16="http://schemas.microsoft.com/office/drawing/2014/chart" uri="{C3380CC4-5D6E-409C-BE32-E72D297353CC}">
              <c16:uniqueId val="{00000005-3827-454D-A95F-5B7F7459084F}"/>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Burden'!$AE$23:$AJ$23</c15:sqref>
                  </c15:fullRef>
                </c:ext>
              </c:extLst>
              <c:f>('Cost Burden'!$AE$23:$AH$23,'Cost Burden'!$AJ$23)</c:f>
              <c:numCache>
                <c:formatCode>#,##0</c:formatCode>
                <c:ptCount val="5"/>
                <c:pt idx="0">
                  <c:v>0</c:v>
                </c:pt>
                <c:pt idx="1">
                  <c:v>0</c:v>
                </c:pt>
                <c:pt idx="2">
                  <c:v>10</c:v>
                </c:pt>
                <c:pt idx="3">
                  <c:v>4</c:v>
                </c:pt>
                <c:pt idx="4">
                  <c:v>20</c:v>
                </c:pt>
              </c:numCache>
            </c:numRef>
          </c:val>
          <c:extLst>
            <c:ext xmlns:c16="http://schemas.microsoft.com/office/drawing/2014/chart" uri="{C3380CC4-5D6E-409C-BE32-E72D297353CC}">
              <c16:uniqueId val="{00000003-3827-454D-A95F-5B7F7459084F}"/>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Burden'!$AE$22:$AJ$22</c15:sqref>
                  </c15:fullRef>
                </c:ext>
              </c:extLst>
              <c:f>('Cost Burden'!$AE$22:$AH$22,'Cost Burden'!$AJ$22)</c:f>
              <c:numCache>
                <c:formatCode>#,##0</c:formatCode>
                <c:ptCount val="5"/>
                <c:pt idx="0">
                  <c:v>0</c:v>
                </c:pt>
                <c:pt idx="1">
                  <c:v>0</c:v>
                </c:pt>
                <c:pt idx="2">
                  <c:v>15</c:v>
                </c:pt>
                <c:pt idx="3">
                  <c:v>15</c:v>
                </c:pt>
                <c:pt idx="4">
                  <c:v>165</c:v>
                </c:pt>
              </c:numCache>
            </c:numRef>
          </c:val>
          <c:extLst>
            <c:ext xmlns:c16="http://schemas.microsoft.com/office/drawing/2014/chart" uri="{C3380CC4-5D6E-409C-BE32-E72D297353CC}">
              <c16:uniqueId val="{00000001-3827-454D-A95F-5B7F7459084F}"/>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Burden'!$AE$25:$AJ$25</c15:sqref>
                  </c15:fullRef>
                </c:ext>
              </c:extLst>
              <c:f>('Cost Burden'!$AE$25:$AH$25,'Cost Burden'!$AJ$25)</c:f>
              <c:numCache>
                <c:formatCode>#,##0</c:formatCode>
                <c:ptCount val="5"/>
                <c:pt idx="0">
                  <c:v>0</c:v>
                </c:pt>
                <c:pt idx="1">
                  <c:v>0</c:v>
                </c:pt>
                <c:pt idx="2">
                  <c:v>4</c:v>
                </c:pt>
                <c:pt idx="3">
                  <c:v>0</c:v>
                </c:pt>
                <c:pt idx="4">
                  <c:v>4</c:v>
                </c:pt>
              </c:numCache>
            </c:numRef>
          </c:val>
          <c:extLst>
            <c:ext xmlns:c16="http://schemas.microsoft.com/office/drawing/2014/chart" uri="{C3380CC4-5D6E-409C-BE32-E72D297353CC}">
              <c16:uniqueId val="{00000007-3827-454D-A95F-5B7F7459084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565304336957882"/>
          <c:h val="0.75701771653543304"/>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Burden'!$AE$12:$AJ$12</c15:sqref>
                  </c15:fullRef>
                </c:ext>
              </c:extLst>
              <c:f>('Cost Burden'!$AG$12,'Cost Burden'!$AI$12:$AJ$12)</c:f>
              <c:numCache>
                <c:formatCode>#,##0</c:formatCode>
                <c:ptCount val="3"/>
                <c:pt idx="0">
                  <c:v>4</c:v>
                </c:pt>
                <c:pt idx="1">
                  <c:v>4</c:v>
                </c:pt>
                <c:pt idx="2">
                  <c:v>35</c:v>
                </c:pt>
              </c:numCache>
            </c:numRef>
          </c:val>
          <c:extLst>
            <c:ext xmlns:c16="http://schemas.microsoft.com/office/drawing/2014/chart" uri="{C3380CC4-5D6E-409C-BE32-E72D297353CC}">
              <c16:uniqueId val="{00000005-BB30-448B-A34E-CA998AEC2818}"/>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Burden'!$AE$11:$AJ$11</c15:sqref>
                  </c15:fullRef>
                </c:ext>
              </c:extLst>
              <c:f>('Cost Burden'!$AG$11,'Cost Burden'!$AI$11:$AJ$11)</c:f>
              <c:numCache>
                <c:formatCode>#,##0</c:formatCode>
                <c:ptCount val="3"/>
                <c:pt idx="0">
                  <c:v>10</c:v>
                </c:pt>
                <c:pt idx="1">
                  <c:v>14</c:v>
                </c:pt>
                <c:pt idx="2">
                  <c:v>35</c:v>
                </c:pt>
              </c:numCache>
            </c:numRef>
          </c:val>
          <c:extLst>
            <c:ext xmlns:c16="http://schemas.microsoft.com/office/drawing/2014/chart" uri="{C3380CC4-5D6E-409C-BE32-E72D297353CC}">
              <c16:uniqueId val="{00000003-BB30-448B-A34E-CA998AEC2818}"/>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Burden'!$AE$10:$AJ$10</c15:sqref>
                  </c15:fullRef>
                </c:ext>
              </c:extLst>
              <c:f>('Cost Burden'!$AG$10,'Cost Burden'!$AI$10:$AJ$10)</c:f>
              <c:numCache>
                <c:formatCode>#,##0</c:formatCode>
                <c:ptCount val="3"/>
                <c:pt idx="0">
                  <c:v>80</c:v>
                </c:pt>
                <c:pt idx="1">
                  <c:v>95</c:v>
                </c:pt>
                <c:pt idx="2">
                  <c:v>210</c:v>
                </c:pt>
              </c:numCache>
            </c:numRef>
          </c:val>
          <c:extLst>
            <c:ext xmlns:c16="http://schemas.microsoft.com/office/drawing/2014/chart" uri="{C3380CC4-5D6E-409C-BE32-E72D297353CC}">
              <c16:uniqueId val="{00000001-BB30-448B-A34E-CA998AEC2818}"/>
            </c:ext>
          </c:extLst>
        </c:ser>
        <c:ser>
          <c:idx val="3"/>
          <c:order val="3"/>
          <c:tx>
            <c:strRef>
              <c:f>'Cost Burden'!$AD$13</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Burden'!$AE$13:$AJ$13</c15:sqref>
                  </c15:fullRef>
                </c:ext>
              </c:extLst>
              <c:f>('Cost Burden'!$AG$13,'Cost Burden'!$AI$13:$AJ$13)</c:f>
              <c:numCache>
                <c:formatCode>#,##0</c:formatCode>
                <c:ptCount val="3"/>
                <c:pt idx="0">
                  <c:v>4</c:v>
                </c:pt>
                <c:pt idx="1">
                  <c:v>4</c:v>
                </c:pt>
                <c:pt idx="2">
                  <c:v>8</c:v>
                </c:pt>
              </c:numCache>
            </c:numRef>
          </c:val>
          <c:extLst>
            <c:ext xmlns:c16="http://schemas.microsoft.com/office/drawing/2014/chart" uri="{C3380CC4-5D6E-409C-BE32-E72D297353CC}">
              <c16:uniqueId val="{00000007-BB30-448B-A34E-CA998AEC281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970066241719789"/>
          <c:h val="0.7743788276465442"/>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Burden'!$AE$24:$AJ$24</c15:sqref>
                  </c15:fullRef>
                </c:ext>
              </c:extLst>
              <c:f>('Cost Burden'!$AG$24,'Cost Burden'!$AI$24:$AJ$24)</c:f>
              <c:numCache>
                <c:formatCode>#,##0</c:formatCode>
                <c:ptCount val="3"/>
                <c:pt idx="0">
                  <c:v>4</c:v>
                </c:pt>
                <c:pt idx="1">
                  <c:v>4</c:v>
                </c:pt>
                <c:pt idx="2">
                  <c:v>35</c:v>
                </c:pt>
              </c:numCache>
            </c:numRef>
          </c:val>
          <c:extLst>
            <c:ext xmlns:c16="http://schemas.microsoft.com/office/drawing/2014/chart" uri="{C3380CC4-5D6E-409C-BE32-E72D297353CC}">
              <c16:uniqueId val="{00000005-A123-4C5C-9732-51C868C0492A}"/>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Burden'!$AE$23:$AJ$23</c15:sqref>
                  </c15:fullRef>
                </c:ext>
              </c:extLst>
              <c:f>('Cost Burden'!$AG$23,'Cost Burden'!$AI$23:$AJ$23)</c:f>
              <c:numCache>
                <c:formatCode>#,##0</c:formatCode>
                <c:ptCount val="3"/>
                <c:pt idx="0">
                  <c:v>10</c:v>
                </c:pt>
                <c:pt idx="1">
                  <c:v>14</c:v>
                </c:pt>
                <c:pt idx="2">
                  <c:v>20</c:v>
                </c:pt>
              </c:numCache>
            </c:numRef>
          </c:val>
          <c:extLst>
            <c:ext xmlns:c16="http://schemas.microsoft.com/office/drawing/2014/chart" uri="{C3380CC4-5D6E-409C-BE32-E72D297353CC}">
              <c16:uniqueId val="{00000003-A123-4C5C-9732-51C868C0492A}"/>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Burden'!$AE$22:$AJ$22</c15:sqref>
                  </c15:fullRef>
                </c:ext>
              </c:extLst>
              <c:f>('Cost Burden'!$AG$22,'Cost Burden'!$AI$22:$AJ$22)</c:f>
              <c:numCache>
                <c:formatCode>#,##0</c:formatCode>
                <c:ptCount val="3"/>
                <c:pt idx="0">
                  <c:v>15</c:v>
                </c:pt>
                <c:pt idx="1">
                  <c:v>30</c:v>
                </c:pt>
                <c:pt idx="2">
                  <c:v>165</c:v>
                </c:pt>
              </c:numCache>
            </c:numRef>
          </c:val>
          <c:extLst>
            <c:ext xmlns:c16="http://schemas.microsoft.com/office/drawing/2014/chart" uri="{C3380CC4-5D6E-409C-BE32-E72D297353CC}">
              <c16:uniqueId val="{00000001-A123-4C5C-9732-51C868C0492A}"/>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Burden'!$AE$25:$AJ$25</c15:sqref>
                  </c15:fullRef>
                </c:ext>
              </c:extLst>
              <c:f>('Cost Burden'!$AG$25,'Cost Burden'!$AI$25:$AJ$25)</c:f>
              <c:numCache>
                <c:formatCode>#,##0</c:formatCode>
                <c:ptCount val="3"/>
                <c:pt idx="0">
                  <c:v>4</c:v>
                </c:pt>
                <c:pt idx="1">
                  <c:v>4</c:v>
                </c:pt>
                <c:pt idx="2">
                  <c:v>4</c:v>
                </c:pt>
              </c:numCache>
            </c:numRef>
          </c:val>
          <c:extLst>
            <c:ext xmlns:c16="http://schemas.microsoft.com/office/drawing/2014/chart" uri="{C3380CC4-5D6E-409C-BE32-E72D297353CC}">
              <c16:uniqueId val="{00000007-A123-4C5C-9732-51C868C0492A}"/>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573240844894394"/>
          <c:h val="0.7743788276465442"/>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Burden'!$AE$35:$AJ$35</c15:sqref>
                  </c15:fullRef>
                </c:ext>
              </c:extLst>
              <c:f>('Cost Burden'!$AG$35,'Cost Burden'!$AI$35:$AJ$35)</c:f>
              <c:numCache>
                <c:formatCode>#,##0</c:formatCode>
                <c:ptCount val="3"/>
                <c:pt idx="0">
                  <c:v>0</c:v>
                </c:pt>
                <c:pt idx="1">
                  <c:v>0</c:v>
                </c:pt>
                <c:pt idx="2">
                  <c:v>0</c:v>
                </c:pt>
              </c:numCache>
            </c:numRef>
          </c:val>
          <c:extLst>
            <c:ext xmlns:c16="http://schemas.microsoft.com/office/drawing/2014/chart" uri="{C3380CC4-5D6E-409C-BE32-E72D297353CC}">
              <c16:uniqueId val="{00000005-3384-4B71-B7C9-396EF3E14E78}"/>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Burden'!$AE$34:$AJ$34</c15:sqref>
                  </c15:fullRef>
                </c:ext>
              </c:extLst>
              <c:f>('Cost Burden'!$AG$34,'Cost Burden'!$AI$34:$AJ$34)</c:f>
              <c:numCache>
                <c:formatCode>#,##0</c:formatCode>
                <c:ptCount val="3"/>
                <c:pt idx="0">
                  <c:v>0</c:v>
                </c:pt>
                <c:pt idx="1">
                  <c:v>0</c:v>
                </c:pt>
                <c:pt idx="2">
                  <c:v>15</c:v>
                </c:pt>
              </c:numCache>
            </c:numRef>
          </c:val>
          <c:extLst>
            <c:ext xmlns:c16="http://schemas.microsoft.com/office/drawing/2014/chart" uri="{C3380CC4-5D6E-409C-BE32-E72D297353CC}">
              <c16:uniqueId val="{00000003-3384-4B71-B7C9-396EF3E14E78}"/>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Burden'!$AE$33:$AJ$33</c15:sqref>
                  </c15:fullRef>
                </c:ext>
              </c:extLst>
              <c:f>('Cost Burden'!$AG$33,'Cost Burden'!$AI$33:$AJ$33)</c:f>
              <c:numCache>
                <c:formatCode>#,##0</c:formatCode>
                <c:ptCount val="3"/>
                <c:pt idx="0">
                  <c:v>65</c:v>
                </c:pt>
                <c:pt idx="1">
                  <c:v>65</c:v>
                </c:pt>
                <c:pt idx="2">
                  <c:v>45</c:v>
                </c:pt>
              </c:numCache>
            </c:numRef>
          </c:val>
          <c:extLst>
            <c:ext xmlns:c16="http://schemas.microsoft.com/office/drawing/2014/chart" uri="{C3380CC4-5D6E-409C-BE32-E72D297353CC}">
              <c16:uniqueId val="{00000001-3384-4B71-B7C9-396EF3E14E78}"/>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Burden'!$AE$36:$AJ$36</c15:sqref>
                  </c15:fullRef>
                </c:ext>
              </c:extLst>
              <c:f>('Cost Burden'!$AG$36,'Cost Burden'!$AI$36:$AJ$36)</c:f>
              <c:numCache>
                <c:formatCode>#,##0</c:formatCode>
                <c:ptCount val="3"/>
                <c:pt idx="0">
                  <c:v>0</c:v>
                </c:pt>
                <c:pt idx="1">
                  <c:v>0</c:v>
                </c:pt>
                <c:pt idx="2">
                  <c:v>4</c:v>
                </c:pt>
              </c:numCache>
            </c:numRef>
          </c:val>
          <c:extLst>
            <c:ext xmlns:c16="http://schemas.microsoft.com/office/drawing/2014/chart" uri="{C3380CC4-5D6E-409C-BE32-E72D297353CC}">
              <c16:uniqueId val="{00000007-3384-4B71-B7C9-396EF3E14E7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19526027996500436"/>
          <c:y val="3.529883228329625E-2"/>
          <c:w val="0.77497781527309084"/>
          <c:h val="0.67172140559708982"/>
        </c:manualLayout>
      </c:layout>
      <c:barChart>
        <c:barDir val="bar"/>
        <c:grouping val="percentStacked"/>
        <c:varyColors val="0"/>
        <c:ser>
          <c:idx val="2"/>
          <c:order val="0"/>
          <c:tx>
            <c:strRef>
              <c:f>'Cost Burden'!$AD$52</c:f>
              <c:strCache>
                <c:ptCount val="1"/>
                <c:pt idx="0">
                  <c:v>Severely Cost-Burdened (&gt;50%)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4.0816326530612242E-2</c:v>
                </c:pt>
                <c:pt idx="1">
                  <c:v>3.4188034188034191E-2</c:v>
                </c:pt>
                <c:pt idx="2">
                  <c:v>0.12152777777777778</c:v>
                </c:pt>
              </c:numCache>
            </c:numRef>
          </c:val>
          <c:extLst>
            <c:ext xmlns:c16="http://schemas.microsoft.com/office/drawing/2014/chart" uri="{C3380CC4-5D6E-409C-BE32-E72D297353CC}">
              <c16:uniqueId val="{0000002C-E00D-4A41-A269-54F56424FDF2}"/>
            </c:ext>
          </c:extLst>
        </c:ser>
        <c:ser>
          <c:idx val="1"/>
          <c:order val="1"/>
          <c:tx>
            <c:strRef>
              <c:f>'Cost Burden'!$AD$51</c:f>
              <c:strCache>
                <c:ptCount val="1"/>
                <c:pt idx="0">
                  <c:v>Cost-Burdened (30-50%)</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0.10204081632653061</c:v>
                </c:pt>
                <c:pt idx="1">
                  <c:v>0.11965811965811966</c:v>
                </c:pt>
                <c:pt idx="2">
                  <c:v>0.12152777777777778</c:v>
                </c:pt>
              </c:numCache>
            </c:numRef>
          </c:val>
          <c:extLst>
            <c:ext xmlns:c16="http://schemas.microsoft.com/office/drawing/2014/chart" uri="{C3380CC4-5D6E-409C-BE32-E72D297353CC}">
              <c16:uniqueId val="{00000023-E00D-4A41-A269-54F56424FDF2}"/>
            </c:ext>
          </c:extLst>
        </c:ser>
        <c:ser>
          <c:idx val="3"/>
          <c:order val="2"/>
          <c:tx>
            <c:strRef>
              <c:f>'Cost Burden'!$AD$50</c:f>
              <c:strCache>
                <c:ptCount val="1"/>
                <c:pt idx="0">
                  <c:v>Not Cost Burdened</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0.81632653061224492</c:v>
                </c:pt>
                <c:pt idx="1">
                  <c:v>0.81196581196581197</c:v>
                </c:pt>
                <c:pt idx="2">
                  <c:v>0.72916666666666663</c:v>
                </c:pt>
              </c:numCache>
            </c:numRef>
          </c:val>
          <c:extLst>
            <c:ext xmlns:c16="http://schemas.microsoft.com/office/drawing/2014/chart" uri="{C3380CC4-5D6E-409C-BE32-E72D297353CC}">
              <c16:uniqueId val="{00000021-E00D-4A41-A269-54F56424FDF2}"/>
            </c:ext>
          </c:extLst>
        </c:ser>
        <c:ser>
          <c:idx val="0"/>
          <c:order val="3"/>
          <c:tx>
            <c:strRef>
              <c:f>'Cost Burden'!$AD$49</c:f>
              <c:strCache>
                <c:ptCount val="1"/>
                <c:pt idx="0">
                  <c:v>Not Calculated</c:v>
                </c:pt>
              </c:strCache>
            </c:strRef>
          </c:tx>
          <c:spPr>
            <a:solidFill>
              <a:schemeClr val="bg2"/>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4.0816326530612242E-2</c:v>
                </c:pt>
                <c:pt idx="1">
                  <c:v>3.4188034188034191E-2</c:v>
                </c:pt>
                <c:pt idx="2">
                  <c:v>2.7777777777777776E-2</c:v>
                </c:pt>
              </c:numCache>
            </c:numRef>
          </c:val>
          <c:extLst>
            <c:ext xmlns:c16="http://schemas.microsoft.com/office/drawing/2014/chart" uri="{C3380CC4-5D6E-409C-BE32-E72D297353CC}">
              <c16:uniqueId val="{00000018-E00D-4A41-A269-54F56424FDF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7859361329833771"/>
          <c:y val="3.8771052055993002E-2"/>
          <c:w val="0.71346987876515433"/>
          <c:h val="0.77714703630796156"/>
        </c:manualLayout>
      </c:layout>
      <c:barChart>
        <c:barDir val="bar"/>
        <c:grouping val="percentStacked"/>
        <c:varyColors val="0"/>
        <c:ser>
          <c:idx val="1"/>
          <c:order val="0"/>
          <c:tx>
            <c:strRef>
              <c:f>'Cost Burden'!$AD$52</c:f>
              <c:strCache>
                <c:ptCount val="1"/>
                <c:pt idx="0">
                  <c:v>Severely Cost-Burdened (&gt;50%)</c:v>
                </c:pt>
              </c:strCache>
            </c:strRef>
          </c:tx>
          <c:spPr>
            <a:solidFill>
              <a:srgbClr val="0A82A0"/>
            </a:solidFill>
            <a:ln>
              <a:noFill/>
            </a:ln>
            <a:effectLst/>
          </c:spPr>
          <c:invertIfNegative val="0"/>
          <c:dLbls>
            <c:dLbl>
              <c:idx val="2"/>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092-4377-BA34-9A7E1A571E95}"/>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0</c:v>
                </c:pt>
                <c:pt idx="1">
                  <c:v>0</c:v>
                </c:pt>
                <c:pt idx="2">
                  <c:v>4.0816326530612242E-2</c:v>
                </c:pt>
                <c:pt idx="3">
                  <c:v>0</c:v>
                </c:pt>
                <c:pt idx="4">
                  <c:v>3.4188034188034191E-2</c:v>
                </c:pt>
                <c:pt idx="5">
                  <c:v>0.12152777777777778</c:v>
                </c:pt>
              </c:numCache>
            </c:numRef>
          </c:val>
          <c:extLst>
            <c:ext xmlns:c16="http://schemas.microsoft.com/office/drawing/2014/chart" uri="{C3380CC4-5D6E-409C-BE32-E72D297353CC}">
              <c16:uniqueId val="{00000029-2D83-4D76-9DA2-97C82294379C}"/>
            </c:ext>
          </c:extLst>
        </c:ser>
        <c:ser>
          <c:idx val="3"/>
          <c:order val="1"/>
          <c:tx>
            <c:strRef>
              <c:f>'Cost Burden'!$AD$51</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c:v>
                </c:pt>
                <c:pt idx="1">
                  <c:v>0</c:v>
                </c:pt>
                <c:pt idx="2">
                  <c:v>0.10204081632653061</c:v>
                </c:pt>
                <c:pt idx="3">
                  <c:v>0.21052631578947367</c:v>
                </c:pt>
                <c:pt idx="4">
                  <c:v>0.11965811965811966</c:v>
                </c:pt>
                <c:pt idx="5">
                  <c:v>0.12152777777777778</c:v>
                </c:pt>
              </c:numCache>
            </c:numRef>
          </c:val>
          <c:extLst>
            <c:ext xmlns:c16="http://schemas.microsoft.com/office/drawing/2014/chart" uri="{C3380CC4-5D6E-409C-BE32-E72D297353CC}">
              <c16:uniqueId val="{0000002B-2D83-4D76-9DA2-97C82294379C}"/>
            </c:ext>
          </c:extLst>
        </c:ser>
        <c:ser>
          <c:idx val="0"/>
          <c:order val="2"/>
          <c:tx>
            <c:strRef>
              <c:f>'Cost Burden'!$AD$50</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0</c:v>
                </c:pt>
                <c:pt idx="1">
                  <c:v>0</c:v>
                </c:pt>
                <c:pt idx="2">
                  <c:v>0.81632653061224492</c:v>
                </c:pt>
                <c:pt idx="3">
                  <c:v>0.78947368421052633</c:v>
                </c:pt>
                <c:pt idx="4">
                  <c:v>0.81196581196581197</c:v>
                </c:pt>
                <c:pt idx="5">
                  <c:v>0.72916666666666663</c:v>
                </c:pt>
              </c:numCache>
            </c:numRef>
          </c:val>
          <c:extLst>
            <c:ext xmlns:c16="http://schemas.microsoft.com/office/drawing/2014/chart" uri="{C3380CC4-5D6E-409C-BE32-E72D297353CC}">
              <c16:uniqueId val="{0000002D-2D83-4D76-9DA2-97C82294379C}"/>
            </c:ext>
          </c:extLst>
        </c:ser>
        <c:ser>
          <c:idx val="5"/>
          <c:order val="3"/>
          <c:tx>
            <c:strRef>
              <c:f>'Cost Burden'!$AD$49</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0</c:v>
                </c:pt>
                <c:pt idx="1">
                  <c:v>0</c:v>
                </c:pt>
                <c:pt idx="2">
                  <c:v>4.0816326530612242E-2</c:v>
                </c:pt>
                <c:pt idx="3">
                  <c:v>0</c:v>
                </c:pt>
                <c:pt idx="4">
                  <c:v>3.4188034188034191E-2</c:v>
                </c:pt>
                <c:pt idx="5">
                  <c:v>2.7777777777777776E-2</c:v>
                </c:pt>
              </c:numCache>
            </c:numRef>
          </c:val>
          <c:extLst xmlns:c15="http://schemas.microsoft.com/office/drawing/2012/chart">
            <c:ext xmlns:c16="http://schemas.microsoft.com/office/drawing/2014/chart" uri="{C3380CC4-5D6E-409C-BE32-E72D297353CC}">
              <c16:uniqueId val="{00000030-2D83-4D76-9DA2-97C82294379C}"/>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9526027996500436"/>
          <c:y val="3.529883228329625E-2"/>
          <c:w val="0.77497781527309084"/>
          <c:h val="0.70075809273840772"/>
        </c:manualLayout>
      </c:layout>
      <c:barChart>
        <c:barDir val="bar"/>
        <c:grouping val="percentStacked"/>
        <c:varyColors val="0"/>
        <c:ser>
          <c:idx val="0"/>
          <c:order val="0"/>
          <c:tx>
            <c:strRef>
              <c:f>'Cost Burden'!$AD$52</c:f>
              <c:strCache>
                <c:ptCount val="1"/>
                <c:pt idx="0">
                  <c:v>Severely Cost-Burdened (&gt;50%)</c:v>
                </c:pt>
              </c:strCache>
            </c:strRef>
          </c:tx>
          <c:spPr>
            <a:solidFill>
              <a:srgbClr val="0A82A0"/>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4.0816326530612242E-2</c:v>
                </c:pt>
                <c:pt idx="1">
                  <c:v>3.4188034188034191E-2</c:v>
                </c:pt>
                <c:pt idx="2">
                  <c:v>0.12152777777777778</c:v>
                </c:pt>
              </c:numCache>
            </c:numRef>
          </c:val>
          <c:extLst>
            <c:ext xmlns:c16="http://schemas.microsoft.com/office/drawing/2014/chart" uri="{C3380CC4-5D6E-409C-BE32-E72D297353CC}">
              <c16:uniqueId val="{00000007-500F-4CC4-BF7F-DB7D142AADFD}"/>
            </c:ext>
          </c:extLst>
        </c:ser>
        <c:ser>
          <c:idx val="3"/>
          <c:order val="1"/>
          <c:tx>
            <c:strRef>
              <c:f>'Cost Burden'!$AD$51</c:f>
              <c:strCache>
                <c:ptCount val="1"/>
                <c:pt idx="0">
                  <c:v>Cost-Burdened (30-50%)</c:v>
                </c:pt>
              </c:strCache>
            </c:strRef>
          </c:tx>
          <c:spPr>
            <a:solidFill>
              <a:srgbClr val="00BCE8"/>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0.10204081632653061</c:v>
                </c:pt>
                <c:pt idx="1">
                  <c:v>0.11965811965811966</c:v>
                </c:pt>
                <c:pt idx="2">
                  <c:v>0.12152777777777778</c:v>
                </c:pt>
              </c:numCache>
            </c:numRef>
          </c:val>
          <c:extLst>
            <c:ext xmlns:c16="http://schemas.microsoft.com/office/drawing/2014/chart" uri="{C3380CC4-5D6E-409C-BE32-E72D297353CC}">
              <c16:uniqueId val="{00000005-500F-4CC4-BF7F-DB7D142AADFD}"/>
            </c:ext>
          </c:extLst>
        </c:ser>
        <c:ser>
          <c:idx val="1"/>
          <c:order val="2"/>
          <c:tx>
            <c:strRef>
              <c:f>'Cost Burden'!$AD$50</c:f>
              <c:strCache>
                <c:ptCount val="1"/>
                <c:pt idx="0">
                  <c:v>Not Cost Burdened</c:v>
                </c:pt>
              </c:strCache>
            </c:strRef>
          </c:tx>
          <c:spPr>
            <a:solidFill>
              <a:srgbClr val="6E767D"/>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0.81632653061224492</c:v>
                </c:pt>
                <c:pt idx="1">
                  <c:v>0.81196581196581197</c:v>
                </c:pt>
                <c:pt idx="2">
                  <c:v>0.72916666666666663</c:v>
                </c:pt>
              </c:numCache>
            </c:numRef>
          </c:val>
          <c:extLst>
            <c:ext xmlns:c16="http://schemas.microsoft.com/office/drawing/2014/chart" uri="{C3380CC4-5D6E-409C-BE32-E72D297353CC}">
              <c16:uniqueId val="{00000003-500F-4CC4-BF7F-DB7D142AADFD}"/>
            </c:ext>
          </c:extLst>
        </c:ser>
        <c:ser>
          <c:idx val="2"/>
          <c:order val="3"/>
          <c:tx>
            <c:strRef>
              <c:f>'Cost Burden'!$AD$49</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4.0816326530612242E-2</c:v>
                </c:pt>
                <c:pt idx="1">
                  <c:v>3.4188034188034191E-2</c:v>
                </c:pt>
                <c:pt idx="2">
                  <c:v>2.7777777777777776E-2</c:v>
                </c:pt>
              </c:numCache>
            </c:numRef>
          </c:val>
          <c:extLst>
            <c:ext xmlns:c16="http://schemas.microsoft.com/office/drawing/2014/chart" uri="{C3380CC4-5D6E-409C-BE32-E72D297353CC}">
              <c16:uniqueId val="{00000001-500F-4CC4-BF7F-DB7D142AADFD}"/>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mn-lt"/>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65572915424047995"/>
        </c:manualLayout>
      </c:layout>
      <c:barChart>
        <c:barDir val="bar"/>
        <c:grouping val="percentStacked"/>
        <c:varyColors val="0"/>
        <c:ser>
          <c:idx val="2"/>
          <c:order val="0"/>
          <c:tx>
            <c:strRef>
              <c:f>'Cost Burden'!$AD$70</c:f>
              <c:strCache>
                <c:ptCount val="1"/>
                <c:pt idx="0">
                  <c:v>Severely Cost-Burdened (&gt;50%)</c:v>
                </c:pt>
              </c:strCache>
            </c:strRef>
          </c:tx>
          <c:spPr>
            <a:solidFill>
              <a:srgbClr val="0A82A0"/>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Burden'!$AE$70:$AK$70</c15:sqref>
                  </c15:fullRef>
                </c:ext>
              </c:extLst>
              <c:f>('Cost Burden'!$AG$70,'Cost Burden'!$AJ$70:$AK$70)</c:f>
              <c:numCache>
                <c:formatCode>0%</c:formatCode>
                <c:ptCount val="3"/>
                <c:pt idx="0">
                  <c:v>0</c:v>
                </c:pt>
                <c:pt idx="1">
                  <c:v>0</c:v>
                </c:pt>
                <c:pt idx="2">
                  <c:v>0</c:v>
                </c:pt>
              </c:numCache>
            </c:numRef>
          </c:val>
          <c:extLst>
            <c:ext xmlns:c16="http://schemas.microsoft.com/office/drawing/2014/chart" uri="{C3380CC4-5D6E-409C-BE32-E72D297353CC}">
              <c16:uniqueId val="{00000022-9E20-42DC-B07E-333F9AEC1146}"/>
            </c:ext>
          </c:extLst>
        </c:ser>
        <c:ser>
          <c:idx val="1"/>
          <c:order val="1"/>
          <c:tx>
            <c:strRef>
              <c:f>'Cost Burden'!$AD$69</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Burden'!$AE$69:$AK$69</c15:sqref>
                  </c15:fullRef>
                </c:ext>
              </c:extLst>
              <c:f>('Cost Burden'!$AG$69,'Cost Burden'!$AJ$69:$AK$69)</c:f>
              <c:numCache>
                <c:formatCode>0%</c:formatCode>
                <c:ptCount val="3"/>
                <c:pt idx="0">
                  <c:v>0</c:v>
                </c:pt>
                <c:pt idx="1">
                  <c:v>0</c:v>
                </c:pt>
                <c:pt idx="2">
                  <c:v>0.25</c:v>
                </c:pt>
              </c:numCache>
            </c:numRef>
          </c:val>
          <c:extLst>
            <c:ext xmlns:c16="http://schemas.microsoft.com/office/drawing/2014/chart" uri="{C3380CC4-5D6E-409C-BE32-E72D297353CC}">
              <c16:uniqueId val="{00000020-9E20-42DC-B07E-333F9AEC1146}"/>
            </c:ext>
          </c:extLst>
        </c:ser>
        <c:ser>
          <c:idx val="3"/>
          <c:order val="2"/>
          <c:tx>
            <c:strRef>
              <c:f>'Cost Burden'!$AD$68</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Burden'!$AE$68:$AK$68</c15:sqref>
                  </c15:fullRef>
                </c:ext>
              </c:extLst>
              <c:f>('Cost Burden'!$AG$68,'Cost Burden'!$AJ$68:$AK$68)</c:f>
              <c:numCache>
                <c:formatCode>0%</c:formatCode>
                <c:ptCount val="3"/>
                <c:pt idx="0">
                  <c:v>1</c:v>
                </c:pt>
                <c:pt idx="1">
                  <c:v>1</c:v>
                </c:pt>
                <c:pt idx="2">
                  <c:v>0.75</c:v>
                </c:pt>
              </c:numCache>
            </c:numRef>
          </c:val>
          <c:extLst>
            <c:ext xmlns:c16="http://schemas.microsoft.com/office/drawing/2014/chart" uri="{C3380CC4-5D6E-409C-BE32-E72D297353CC}">
              <c16:uniqueId val="{0000001E-9E20-42DC-B07E-333F9AEC1146}"/>
            </c:ext>
          </c:extLst>
        </c:ser>
        <c:ser>
          <c:idx val="0"/>
          <c:order val="3"/>
          <c:tx>
            <c:strRef>
              <c:f>'Cost Burden'!$AD$67</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Burden'!$AE$67:$AK$67</c15:sqref>
                  </c15:fullRef>
                </c:ext>
              </c:extLst>
              <c:f>('Cost Burden'!$AG$67,'Cost Burden'!$AJ$67:$AK$67)</c:f>
              <c:numCache>
                <c:formatCode>0%</c:formatCode>
                <c:ptCount val="3"/>
                <c:pt idx="0">
                  <c:v>0</c:v>
                </c:pt>
                <c:pt idx="1">
                  <c:v>0</c:v>
                </c:pt>
                <c:pt idx="2">
                  <c:v>6.6666666666666666E-2</c:v>
                </c:pt>
              </c:numCache>
            </c:numRef>
          </c:val>
          <c:extLst>
            <c:ext xmlns:c16="http://schemas.microsoft.com/office/drawing/2014/chart" uri="{C3380CC4-5D6E-409C-BE32-E72D297353CC}">
              <c16:uniqueId val="{0000001C-9E20-42DC-B07E-333F9AEC1146}"/>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9578827133672838"/>
          <c:y val="8.583415354330709E-2"/>
          <c:w val="0.80179926572369076"/>
          <c:h val="0.70340250437445317"/>
        </c:manualLayout>
      </c:layout>
      <c:barChart>
        <c:barDir val="bar"/>
        <c:grouping val="percentStacked"/>
        <c:varyColors val="0"/>
        <c:ser>
          <c:idx val="0"/>
          <c:order val="0"/>
          <c:tx>
            <c:strRef>
              <c:f>'Rental Affordability'!$AA$22</c:f>
              <c:strCache>
                <c:ptCount val="1"/>
                <c:pt idx="0">
                  <c:v>Extremely Low Income (&lt;30% AMI)</c:v>
                </c:pt>
              </c:strCache>
            </c:strRef>
          </c:tx>
          <c:spPr>
            <a:solidFill>
              <a:schemeClr val="accent6">
                <a:lumMod val="50000"/>
              </a:schemeClr>
            </a:solidFill>
            <a:ln>
              <a:noFill/>
            </a:ln>
            <a:effectLst/>
          </c:spPr>
          <c:invertIfNegative val="0"/>
          <c:dLbls>
            <c:dLbl>
              <c:idx val="0"/>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0-B541-4D65-911C-AFF18C95A9B1}"/>
                </c:ext>
              </c:extLst>
            </c:dLbl>
            <c:spPr>
              <a:noFill/>
              <a:ln>
                <a:noFill/>
              </a:ln>
              <a:effectLst/>
            </c:spPr>
            <c:txPr>
              <a:bodyPr rot="0" spcFirstLastPara="1" vertOverflow="ellipsis" vert="horz" wrap="square" anchor="ctr" anchorCtr="0"/>
              <a:lstStyle/>
              <a:p>
                <a:pPr algn="ctr">
                  <a:defRPr lang="en-US" sz="12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Affordability'!$AK$12:$AO$12</c:f>
              <c:numCache>
                <c:formatCode>0%</c:formatCode>
                <c:ptCount val="5"/>
                <c:pt idx="0">
                  <c:v>3.0769230769230771E-2</c:v>
                </c:pt>
                <c:pt idx="1">
                  <c:v>0.15384615384615385</c:v>
                </c:pt>
                <c:pt idx="3">
                  <c:v>0.13960396039603962</c:v>
                </c:pt>
                <c:pt idx="4">
                  <c:v>0.1982276119402985</c:v>
                </c:pt>
              </c:numCache>
            </c:numRef>
          </c:val>
          <c:extLst>
            <c:ext xmlns:c16="http://schemas.microsoft.com/office/drawing/2014/chart" uri="{C3380CC4-5D6E-409C-BE32-E72D297353CC}">
              <c16:uniqueId val="{00000000-993F-4AF3-9950-DAD2BB7A0651}"/>
            </c:ext>
          </c:extLst>
        </c:ser>
        <c:ser>
          <c:idx val="1"/>
          <c:order val="1"/>
          <c:tx>
            <c:strRef>
              <c:f>'Rental Affordability'!$AA$23</c:f>
              <c:strCache>
                <c:ptCount val="1"/>
                <c:pt idx="0">
                  <c:v>Very Low Income (30-50% AMI)</c:v>
                </c:pt>
              </c:strCache>
            </c:strRef>
          </c:tx>
          <c:spPr>
            <a:solidFill>
              <a:schemeClr val="accent6"/>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Affordability'!$AK$13:$AO$13</c:f>
              <c:numCache>
                <c:formatCode>0%</c:formatCode>
                <c:ptCount val="5"/>
                <c:pt idx="0">
                  <c:v>7.6923076923076927E-2</c:v>
                </c:pt>
                <c:pt idx="1">
                  <c:v>0.15384615384615385</c:v>
                </c:pt>
                <c:pt idx="3">
                  <c:v>0.19603960396039605</c:v>
                </c:pt>
                <c:pt idx="4">
                  <c:v>0.26865671641791045</c:v>
                </c:pt>
              </c:numCache>
            </c:numRef>
          </c:val>
          <c:extLst>
            <c:ext xmlns:c16="http://schemas.microsoft.com/office/drawing/2014/chart" uri="{C3380CC4-5D6E-409C-BE32-E72D297353CC}">
              <c16:uniqueId val="{00000001-993F-4AF3-9950-DAD2BB7A0651}"/>
            </c:ext>
          </c:extLst>
        </c:ser>
        <c:ser>
          <c:idx val="2"/>
          <c:order val="2"/>
          <c:tx>
            <c:strRef>
              <c:f>'Rental Affordability'!$AA$24</c:f>
              <c:strCache>
                <c:ptCount val="1"/>
                <c:pt idx="0">
                  <c:v>Low Income (50-80% AMI)</c:v>
                </c:pt>
              </c:strCache>
            </c:strRef>
          </c:tx>
          <c:spPr>
            <a:solidFill>
              <a:schemeClr val="accent1">
                <a:lumMod val="60000"/>
                <a:lumOff val="4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Affordability'!$AK$14:$AO$14</c:f>
              <c:numCache>
                <c:formatCode>0%</c:formatCode>
                <c:ptCount val="5"/>
                <c:pt idx="0">
                  <c:v>0.15384615384615385</c:v>
                </c:pt>
                <c:pt idx="1">
                  <c:v>0.5</c:v>
                </c:pt>
                <c:pt idx="3">
                  <c:v>0.24801980198019802</c:v>
                </c:pt>
                <c:pt idx="4">
                  <c:v>0.38432835820895522</c:v>
                </c:pt>
              </c:numCache>
            </c:numRef>
          </c:val>
          <c:extLst>
            <c:ext xmlns:c16="http://schemas.microsoft.com/office/drawing/2014/chart" uri="{C3380CC4-5D6E-409C-BE32-E72D297353CC}">
              <c16:uniqueId val="{00000002-993F-4AF3-9950-DAD2BB7A0651}"/>
            </c:ext>
          </c:extLst>
        </c:ser>
        <c:ser>
          <c:idx val="3"/>
          <c:order val="3"/>
          <c:tx>
            <c:strRef>
              <c:f>'Rental Affordability'!$AA$25</c:f>
              <c:strCache>
                <c:ptCount val="1"/>
                <c:pt idx="0">
                  <c:v>Moderate Income (80-100% AMI)</c:v>
                </c:pt>
              </c:strCache>
            </c:strRef>
          </c:tx>
          <c:spPr>
            <a:solidFill>
              <a:schemeClr val="accent1">
                <a:lumMod val="20000"/>
                <a:lumOff val="8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Affordability'!$AK$15:$AO$15</c:f>
              <c:numCache>
                <c:formatCode>0%</c:formatCode>
                <c:ptCount val="5"/>
                <c:pt idx="0">
                  <c:v>0.73076923076923073</c:v>
                </c:pt>
                <c:pt idx="1">
                  <c:v>0.19230769230769232</c:v>
                </c:pt>
                <c:pt idx="3">
                  <c:v>0.41534653465346533</c:v>
                </c:pt>
                <c:pt idx="4">
                  <c:v>0.14832089552238806</c:v>
                </c:pt>
              </c:numCache>
            </c:numRef>
          </c:val>
          <c:extLst>
            <c:ext xmlns:c16="http://schemas.microsoft.com/office/drawing/2014/chart" uri="{C3380CC4-5D6E-409C-BE32-E72D297353CC}">
              <c16:uniqueId val="{00000003-993F-4AF3-9950-DAD2BB7A0651}"/>
            </c:ext>
          </c:extLst>
        </c:ser>
        <c:dLbls>
          <c:dLblPos val="ctr"/>
          <c:showLegendKey val="0"/>
          <c:showVal val="1"/>
          <c:showCatName val="0"/>
          <c:showSerName val="0"/>
          <c:showPercent val="0"/>
          <c:showBubbleSize val="0"/>
        </c:dLbls>
        <c:gapWidth val="3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4.050931866143196E-2"/>
          <c:w val="0.85207255343082111"/>
          <c:h val="0.60101686562940049"/>
        </c:manualLayout>
      </c:layout>
      <c:barChart>
        <c:barDir val="col"/>
        <c:grouping val="clustered"/>
        <c:varyColors val="0"/>
        <c:ser>
          <c:idx val="0"/>
          <c:order val="0"/>
          <c:tx>
            <c:strRef>
              <c:f>'Rental Affordability'!$AC$77</c:f>
              <c:strCache>
                <c:ptCount val="1"/>
                <c:pt idx="0">
                  <c:v>Renter HH Change</c:v>
                </c:pt>
              </c:strCache>
            </c:strRef>
          </c:tx>
          <c:spPr>
            <a:solidFill>
              <a:schemeClr val="accent2"/>
            </a:solidFill>
          </c:spPr>
          <c:invertIfNegative val="0"/>
          <c:dLbls>
            <c:numFmt formatCode="\+#,##0;\-#,##0;0" sourceLinked="0"/>
            <c:spPr>
              <a:noFill/>
              <a:ln>
                <a:noFill/>
              </a:ln>
              <a:effectLst/>
            </c:spPr>
            <c:txPr>
              <a:bodyPr wrap="square" lIns="0" tIns="0" rIns="0" bIns="0" anchor="ctr">
                <a:spAutoFit/>
              </a:bodyPr>
              <a:lstStyle/>
              <a:p>
                <a:pPr>
                  <a:defRPr sz="1100" b="1">
                    <a:solidFill>
                      <a:schemeClr val="accent2"/>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'Rental Affordability'!$AB$78:$AB$81</c:f>
              <c:strCache>
                <c:ptCount val="4"/>
                <c:pt idx="0">
                  <c:v>&lt;30% AMI</c:v>
                </c:pt>
                <c:pt idx="1">
                  <c:v>30-50% AMI</c:v>
                </c:pt>
                <c:pt idx="2">
                  <c:v>50-80% AMI</c:v>
                </c:pt>
                <c:pt idx="3">
                  <c:v>&gt;80% AMI</c:v>
                </c:pt>
              </c:strCache>
            </c:strRef>
          </c:cat>
          <c:val>
            <c:numRef>
              <c:f>'Rental Affordability'!$AC$78:$AC$81</c:f>
              <c:numCache>
                <c:formatCode>#,##0</c:formatCode>
                <c:ptCount val="4"/>
                <c:pt idx="0">
                  <c:v>-26</c:v>
                </c:pt>
                <c:pt idx="1">
                  <c:v>-5</c:v>
                </c:pt>
                <c:pt idx="2">
                  <c:v>-45</c:v>
                </c:pt>
                <c:pt idx="3">
                  <c:v>75</c:v>
                </c:pt>
              </c:numCache>
            </c:numRef>
          </c:val>
          <c:extLst>
            <c:ext xmlns:c16="http://schemas.microsoft.com/office/drawing/2014/chart" uri="{C3380CC4-5D6E-409C-BE32-E72D297353CC}">
              <c16:uniqueId val="{00000000-3978-4E5A-9F75-20EB2A6E0B9F}"/>
            </c:ext>
          </c:extLst>
        </c:ser>
        <c:ser>
          <c:idx val="1"/>
          <c:order val="1"/>
          <c:tx>
            <c:strRef>
              <c:f>'Rental Affordability'!$AD$77</c:f>
              <c:strCache>
                <c:ptCount val="1"/>
                <c:pt idx="0">
                  <c:v>HH Unit Change</c:v>
                </c:pt>
              </c:strCache>
            </c:strRef>
          </c:tx>
          <c:spPr>
            <a:solidFill>
              <a:schemeClr val="accent1"/>
            </a:solidFill>
          </c:spPr>
          <c:invertIfNegative val="0"/>
          <c:dLbls>
            <c:numFmt formatCode="\+#,##0;\-#,##0;0" sourceLinked="0"/>
            <c:spPr>
              <a:noFill/>
              <a:ln>
                <a:noFill/>
              </a:ln>
              <a:effectLst/>
            </c:spPr>
            <c:txPr>
              <a:bodyPr wrap="square" lIns="0" tIns="0" rIns="0" bIns="0" anchor="ctr">
                <a:spAutoFit/>
              </a:bodyPr>
              <a:lstStyle/>
              <a:p>
                <a:pPr>
                  <a:defRPr sz="1100" b="1">
                    <a:solidFill>
                      <a:schemeClr val="accent1"/>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'Rental Affordability'!$AB$78:$AB$81</c:f>
              <c:strCache>
                <c:ptCount val="4"/>
                <c:pt idx="0">
                  <c:v>&lt;30% AMI</c:v>
                </c:pt>
                <c:pt idx="1">
                  <c:v>30-50% AMI</c:v>
                </c:pt>
                <c:pt idx="2">
                  <c:v>50-80% AMI</c:v>
                </c:pt>
                <c:pt idx="3">
                  <c:v>&gt;80% AMI</c:v>
                </c:pt>
              </c:strCache>
            </c:strRef>
          </c:cat>
          <c:val>
            <c:numRef>
              <c:f>'Rental Affordability'!$AD$78:$AD$81</c:f>
              <c:numCache>
                <c:formatCode>#,##0</c:formatCode>
                <c:ptCount val="4"/>
                <c:pt idx="0">
                  <c:v>-35</c:v>
                </c:pt>
                <c:pt idx="1">
                  <c:v>-30</c:v>
                </c:pt>
                <c:pt idx="2">
                  <c:v>15</c:v>
                </c:pt>
                <c:pt idx="3">
                  <c:v>115</c:v>
                </c:pt>
              </c:numCache>
            </c:numRef>
          </c:val>
          <c:extLst>
            <c:ext xmlns:c16="http://schemas.microsoft.com/office/drawing/2014/chart" uri="{C3380CC4-5D6E-409C-BE32-E72D297353CC}">
              <c16:uniqueId val="{00000001-3978-4E5A-9F75-20EB2A6E0B9F}"/>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layout/>
              <c:tx>
                <c:rich>
                  <a:bodyPr/>
                  <a:lstStyle/>
                  <a:p>
                    <a:fld id="{C464D490-55AD-4D59-940F-EAB302D3D496}"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3978-4E5A-9F75-20EB2A6E0B9F}"/>
                </c:ext>
              </c:extLst>
            </c:dLbl>
            <c:dLbl>
              <c:idx val="1"/>
              <c:layout/>
              <c:tx>
                <c:rich>
                  <a:bodyPr/>
                  <a:lstStyle/>
                  <a:p>
                    <a:fld id="{DEA1AC59-8D49-4AEE-B1E9-521B29471357}"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3978-4E5A-9F75-20EB2A6E0B9F}"/>
                </c:ext>
              </c:extLst>
            </c:dLbl>
            <c:dLbl>
              <c:idx val="2"/>
              <c:layout/>
              <c:tx>
                <c:rich>
                  <a:bodyPr/>
                  <a:lstStyle/>
                  <a:p>
                    <a:fld id="{6A6101CD-C799-4F82-AC26-810CDF3B8A5A}"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4-3978-4E5A-9F75-20EB2A6E0B9F}"/>
                </c:ext>
              </c:extLst>
            </c:dLbl>
            <c:dLbl>
              <c:idx val="3"/>
              <c:layout/>
              <c:tx>
                <c:rich>
                  <a:bodyPr/>
                  <a:lstStyle/>
                  <a:p>
                    <a:fld id="{87AB4D76-4026-4D0C-8808-1D7DAB45D5BD}"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3978-4E5A-9F75-20EB2A6E0B9F}"/>
                </c:ext>
              </c:extLst>
            </c:dLbl>
            <c:spPr>
              <a:noFill/>
              <a:ln>
                <a:noFill/>
              </a:ln>
              <a:effectLst/>
            </c:spPr>
            <c:txPr>
              <a:bodyPr wrap="square" lIns="38100" tIns="0" rIns="38100" bIns="91440" anchor="t" anchorCtr="0">
                <a:spAutoFit/>
              </a:bodyPr>
              <a:lstStyle/>
              <a:p>
                <a:pPr>
                  <a:defRPr sz="11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DataLabelsRange val="1"/>
                <c15:showLeaderLines val="1"/>
              </c:ext>
            </c:extLst>
          </c:dLbls>
          <c:val>
            <c:numRef>
              <c:f>'Rental Affordability'!$AH$78:$AH$81</c:f>
              <c:numCache>
                <c:formatCode>#,##0</c:formatCode>
                <c:ptCount val="4"/>
                <c:pt idx="0">
                  <c:v>15</c:v>
                </c:pt>
                <c:pt idx="1">
                  <c:v>15</c:v>
                </c:pt>
                <c:pt idx="2">
                  <c:v>30</c:v>
                </c:pt>
                <c:pt idx="3">
                  <c:v>130</c:v>
                </c:pt>
              </c:numCache>
            </c:numRef>
          </c:val>
          <c:smooth val="0"/>
          <c:extLst>
            <c:ext xmlns:c15="http://schemas.microsoft.com/office/drawing/2012/chart" uri="{02D57815-91ED-43cb-92C2-25804820EDAC}">
              <c15:datalabelsRange>
                <c15:f>'Rental Affordability'!$AI$78:$AI$81</c15:f>
                <c15:dlblRangeCache>
                  <c:ptCount val="4"/>
                  <c:pt idx="0">
                    <c:v>Difference:
-9 units</c:v>
                  </c:pt>
                  <c:pt idx="1">
                    <c:v>Difference:
-25 units</c:v>
                  </c:pt>
                  <c:pt idx="2">
                    <c:v>Difference:
+60 units</c:v>
                  </c:pt>
                  <c:pt idx="3">
                    <c:v>Difference:
+40 units</c:v>
                  </c:pt>
                </c15:dlblRangeCache>
              </c15:datalabelsRange>
            </c:ext>
            <c:ext xmlns:c16="http://schemas.microsoft.com/office/drawing/2014/chart" uri="{C3380CC4-5D6E-409C-BE32-E72D297353CC}">
              <c16:uniqueId val="{00000006-3978-4E5A-9F75-20EB2A6E0B9F}"/>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200" b="1" i="0" u="none" strike="noStrike" kern="1200" baseline="0">
                    <a:solidFill>
                      <a:srgbClr val="000000">
                        <a:lumMod val="65000"/>
                        <a:lumOff val="35000"/>
                      </a:srgbClr>
                    </a:solidFill>
                    <a:latin typeface="Arial Nova (Body)"/>
                    <a:ea typeface="+mn-ea"/>
                    <a:cs typeface="+mn-cs"/>
                  </a:defRPr>
                </a:pPr>
                <a:r>
                  <a:rPr lang="en-US" sz="1200" b="1" i="0" u="none" strike="noStrike" kern="1200" baseline="0">
                    <a:solidFill>
                      <a:srgbClr val="000000">
                        <a:lumMod val="65000"/>
                        <a:lumOff val="35000"/>
                      </a:srgbClr>
                    </a:solidFill>
                    <a:latin typeface="Arial Nova (Body)"/>
                    <a:ea typeface="+mn-ea"/>
                    <a:cs typeface="+mn-cs"/>
                  </a:rPr>
                  <a:t>Change in 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25" r="0.25" t="0.75" header="0.3" footer="0.3"/>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3.1658053158488027E-2"/>
          <c:w val="0.45941619857813182"/>
          <c:h val="0.8876879261998244"/>
        </c:manualLayout>
      </c:layout>
      <c:barChart>
        <c:barDir val="col"/>
        <c:grouping val="percentStacked"/>
        <c:varyColors val="0"/>
        <c:ser>
          <c:idx val="2"/>
          <c:order val="0"/>
          <c:tx>
            <c:strRef>
              <c:f>'Racial Composition'!$AC$30</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Entiat</c:v>
                </c:pt>
                <c:pt idx="1">
                  <c:v>Chelan County</c:v>
                </c:pt>
              </c:strCache>
            </c:strRef>
          </c:cat>
          <c:val>
            <c:numRef>
              <c:f>('Racial Composition'!$AH$30,'Racial Composition'!$AN$30)</c:f>
              <c:numCache>
                <c:formatCode>0%</c:formatCode>
                <c:ptCount val="2"/>
                <c:pt idx="0">
                  <c:v>0.61846153846153851</c:v>
                </c:pt>
                <c:pt idx="1">
                  <c:v>0.67526385138220291</c:v>
                </c:pt>
              </c:numCache>
            </c:numRef>
          </c:val>
          <c:extLst>
            <c:ext xmlns:c16="http://schemas.microsoft.com/office/drawing/2014/chart" uri="{C3380CC4-5D6E-409C-BE32-E72D297353CC}">
              <c16:uniqueId val="{0000000C-DB90-42EE-B273-27B7A573BDF5}"/>
            </c:ext>
          </c:extLst>
        </c:ser>
        <c:ser>
          <c:idx val="3"/>
          <c:order val="1"/>
          <c:tx>
            <c:strRef>
              <c:f>'Racial Composition'!$AC$29</c:f>
              <c:strCache>
                <c:ptCount val="1"/>
                <c:pt idx="0">
                  <c:v>Other Race</c:v>
                </c:pt>
              </c:strCache>
            </c:strRef>
          </c:tx>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Entiat</c:v>
                </c:pt>
                <c:pt idx="1">
                  <c:v>Chelan County</c:v>
                </c:pt>
              </c:strCache>
            </c:strRef>
          </c:cat>
          <c:val>
            <c:numRef>
              <c:f>('Racial Composition'!$AH$29,'Racial Composition'!$AN$29)</c:f>
              <c:numCache>
                <c:formatCode>0%</c:formatCode>
                <c:ptCount val="2"/>
                <c:pt idx="0">
                  <c:v>0.10256410256410256</c:v>
                </c:pt>
                <c:pt idx="1">
                  <c:v>3.2484051504833474E-2</c:v>
                </c:pt>
              </c:numCache>
            </c:numRef>
          </c:val>
          <c:extLst>
            <c:ext xmlns:c16="http://schemas.microsoft.com/office/drawing/2014/chart" uri="{C3380CC4-5D6E-409C-BE32-E72D297353CC}">
              <c16:uniqueId val="{00000009-DB90-42EE-B273-27B7A573BDF5}"/>
            </c:ext>
          </c:extLst>
        </c:ser>
        <c:ser>
          <c:idx val="4"/>
          <c:order val="2"/>
          <c:tx>
            <c:strRef>
              <c:f>'Racial Composition'!$AC$28</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Entiat</c:v>
                </c:pt>
                <c:pt idx="1">
                  <c:v>Chelan County</c:v>
                </c:pt>
              </c:strCache>
            </c:strRef>
          </c:cat>
          <c:val>
            <c:numRef>
              <c:f>('Racial Composition'!$AH$28,'Racial Composition'!$AN$28)</c:f>
              <c:numCache>
                <c:formatCode>0%</c:formatCode>
                <c:ptCount val="2"/>
                <c:pt idx="0">
                  <c:v>0.24820512820512822</c:v>
                </c:pt>
                <c:pt idx="1">
                  <c:v>0.28088920198818051</c:v>
                </c:pt>
              </c:numCache>
            </c:numRef>
          </c:val>
          <c:extLst>
            <c:ext xmlns:c16="http://schemas.microsoft.com/office/drawing/2014/chart" uri="{C3380CC4-5D6E-409C-BE32-E72D297353CC}">
              <c16:uniqueId val="{00000007-DB90-42EE-B273-27B7A573BDF5}"/>
            </c:ext>
          </c:extLst>
        </c:ser>
        <c:ser>
          <c:idx val="5"/>
          <c:order val="3"/>
          <c:tx>
            <c:strRef>
              <c:f>'Racial Composition'!$AC$27</c:f>
              <c:strCache>
                <c:ptCount val="1"/>
                <c:pt idx="0">
                  <c:v>Black or African American</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Entiat</c:v>
                </c:pt>
                <c:pt idx="1">
                  <c:v>Chelan County</c:v>
                </c:pt>
              </c:strCache>
            </c:strRef>
          </c:cat>
          <c:val>
            <c:numRef>
              <c:f>('Racial Composition'!$AH$27,'Racial Composition'!$AN$27)</c:f>
              <c:numCache>
                <c:formatCode>0%</c:formatCode>
                <c:ptCount val="2"/>
                <c:pt idx="0">
                  <c:v>0</c:v>
                </c:pt>
                <c:pt idx="1">
                  <c:v>3.2223135428489425E-3</c:v>
                </c:pt>
              </c:numCache>
            </c:numRef>
          </c:val>
          <c:extLst>
            <c:ext xmlns:c16="http://schemas.microsoft.com/office/drawing/2014/chart" uri="{C3380CC4-5D6E-409C-BE32-E72D297353CC}">
              <c16:uniqueId val="{00000004-DB90-42EE-B273-27B7A573BDF5}"/>
            </c:ext>
          </c:extLst>
        </c:ser>
        <c:ser>
          <c:idx val="6"/>
          <c:order val="4"/>
          <c:tx>
            <c:strRef>
              <c:f>'Racial Composition'!$AC$26</c:f>
              <c:strCache>
                <c:ptCount val="1"/>
                <c:pt idx="0">
                  <c:v>Asian</c:v>
                </c:pt>
              </c:strCache>
            </c:strRef>
          </c:tx>
          <c:spPr>
            <a:solidFill>
              <a:schemeClr val="accent5"/>
            </a:solidFill>
          </c:spPr>
          <c:invertIfNegative val="0"/>
          <c:dLbls>
            <c:dLbl>
              <c:idx val="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0BC-471B-9790-385914D39309}"/>
                </c:ext>
              </c:extLst>
            </c:dLbl>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0BC-471B-9790-385914D39309}"/>
                </c:ext>
              </c:extLst>
            </c:dLbl>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Arial Nova (Body)"/>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Entiat</c:v>
                </c:pt>
                <c:pt idx="1">
                  <c:v>Chelan County</c:v>
                </c:pt>
              </c:strCache>
            </c:strRef>
          </c:cat>
          <c:val>
            <c:numRef>
              <c:f>('Racial Composition'!$AH$26,'Racial Composition'!$AN$26)</c:f>
              <c:numCache>
                <c:formatCode>0%</c:formatCode>
                <c:ptCount val="2"/>
                <c:pt idx="0">
                  <c:v>3.0769230769230771E-2</c:v>
                </c:pt>
                <c:pt idx="1">
                  <c:v>8.1405815819341702E-3</c:v>
                </c:pt>
              </c:numCache>
            </c:numRef>
          </c:val>
          <c:extLst>
            <c:ext xmlns:c16="http://schemas.microsoft.com/office/drawing/2014/chart" uri="{C3380CC4-5D6E-409C-BE32-E72D297353CC}">
              <c16:uniqueId val="{00000001-DB90-42EE-B273-27B7A573BDF5}"/>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49955474355293061"/>
          <c:y val="6.2218667979002627E-2"/>
          <c:w val="0.47217569472204557"/>
          <c:h val="0.7684396913072433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6.7682080759614474E-2"/>
          <c:w val="0.85207255343082111"/>
          <c:h val="0.64032483282280428"/>
        </c:manualLayout>
      </c:layout>
      <c:barChart>
        <c:barDir val="col"/>
        <c:grouping val="clustered"/>
        <c:varyColors val="0"/>
        <c:ser>
          <c:idx val="0"/>
          <c:order val="0"/>
          <c:tx>
            <c:v>Households</c:v>
          </c:tx>
          <c:spPr>
            <a:solidFill>
              <a:schemeClr val="accent2"/>
            </a:solidFill>
          </c:spPr>
          <c:invertIfNegative val="0"/>
          <c:dLbls>
            <c:spPr>
              <a:noFill/>
              <a:ln>
                <a:noFill/>
              </a:ln>
              <a:effectLst/>
            </c:spPr>
            <c:txPr>
              <a:bodyPr wrap="square" lIns="0" tIns="0" rIns="0" bIns="0" anchor="ctr">
                <a:spAutoFit/>
              </a:bodyPr>
              <a:lstStyle/>
              <a:p>
                <a:pPr>
                  <a:defRPr sz="1100" b="1">
                    <a:solidFill>
                      <a:schemeClr val="accent2"/>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'Rental Affordability'!$AB$35:$AB$38</c:f>
              <c:strCache>
                <c:ptCount val="4"/>
                <c:pt idx="0">
                  <c:v>&lt;30% AMI</c:v>
                </c:pt>
                <c:pt idx="1">
                  <c:v>30-50% AMI</c:v>
                </c:pt>
                <c:pt idx="2">
                  <c:v>50-80% AMI</c:v>
                </c:pt>
                <c:pt idx="3">
                  <c:v>&gt;80% AMI</c:v>
                </c:pt>
              </c:strCache>
            </c:strRef>
          </c:cat>
          <c:val>
            <c:numRef>
              <c:f>'Rental Affordability'!$AC$35:$AC$38</c:f>
              <c:numCache>
                <c:formatCode>#,##0</c:formatCode>
                <c:ptCount val="4"/>
                <c:pt idx="0">
                  <c:v>4</c:v>
                </c:pt>
                <c:pt idx="1">
                  <c:v>10</c:v>
                </c:pt>
                <c:pt idx="2">
                  <c:v>20</c:v>
                </c:pt>
                <c:pt idx="3">
                  <c:v>95</c:v>
                </c:pt>
              </c:numCache>
            </c:numRef>
          </c:val>
          <c:extLst>
            <c:ext xmlns:c16="http://schemas.microsoft.com/office/drawing/2014/chart" uri="{C3380CC4-5D6E-409C-BE32-E72D297353CC}">
              <c16:uniqueId val="{00000000-BEBB-458F-ADCD-83EABE360D45}"/>
            </c:ext>
          </c:extLst>
        </c:ser>
        <c:ser>
          <c:idx val="1"/>
          <c:order val="1"/>
          <c:tx>
            <c:strRef>
              <c:f>'Rental Affordability'!$AD$34</c:f>
              <c:strCache>
                <c:ptCount val="1"/>
                <c:pt idx="0">
                  <c:v>Rental Units</c:v>
                </c:pt>
              </c:strCache>
            </c:strRef>
          </c:tx>
          <c:spPr>
            <a:solidFill>
              <a:schemeClr val="accent1"/>
            </a:solidFill>
          </c:spPr>
          <c:invertIfNegative val="0"/>
          <c:dLbls>
            <c:spPr>
              <a:noFill/>
              <a:ln>
                <a:noFill/>
              </a:ln>
              <a:effectLst/>
            </c:spPr>
            <c:txPr>
              <a:bodyPr wrap="square" lIns="0" tIns="0" rIns="0" bIns="0" anchor="ctr">
                <a:spAutoFit/>
              </a:bodyPr>
              <a:lstStyle/>
              <a:p>
                <a:pPr>
                  <a:defRPr sz="1100" b="1">
                    <a:solidFill>
                      <a:schemeClr val="accent1"/>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'Rental Affordability'!$AB$35:$AB$38</c:f>
              <c:strCache>
                <c:ptCount val="4"/>
                <c:pt idx="0">
                  <c:v>&lt;30% AMI</c:v>
                </c:pt>
                <c:pt idx="1">
                  <c:v>30-50% AMI</c:v>
                </c:pt>
                <c:pt idx="2">
                  <c:v>50-80% AMI</c:v>
                </c:pt>
                <c:pt idx="3">
                  <c:v>&gt;80% AMI</c:v>
                </c:pt>
              </c:strCache>
            </c:strRef>
          </c:cat>
          <c:val>
            <c:numRef>
              <c:f>'Rental Affordability'!$AD$35:$AD$38</c:f>
              <c:numCache>
                <c:formatCode>#,##0</c:formatCode>
                <c:ptCount val="4"/>
                <c:pt idx="0">
                  <c:v>20</c:v>
                </c:pt>
                <c:pt idx="1">
                  <c:v>20</c:v>
                </c:pt>
                <c:pt idx="2">
                  <c:v>65</c:v>
                </c:pt>
                <c:pt idx="3">
                  <c:v>25</c:v>
                </c:pt>
              </c:numCache>
            </c:numRef>
          </c:val>
          <c:extLst>
            <c:ext xmlns:c16="http://schemas.microsoft.com/office/drawing/2014/chart" uri="{C3380CC4-5D6E-409C-BE32-E72D297353CC}">
              <c16:uniqueId val="{00000001-BEBB-458F-ADCD-83EABE360D45}"/>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layout/>
              <c:tx>
                <c:rich>
                  <a:bodyPr/>
                  <a:lstStyle/>
                  <a:p>
                    <a:fld id="{3B83E650-EFC2-48F8-A57A-8F894ACD2378}"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BEBB-458F-ADCD-83EABE360D45}"/>
                </c:ext>
              </c:extLst>
            </c:dLbl>
            <c:dLbl>
              <c:idx val="1"/>
              <c:layout/>
              <c:tx>
                <c:rich>
                  <a:bodyPr/>
                  <a:lstStyle/>
                  <a:p>
                    <a:fld id="{99DC92F1-AEB1-42B7-8A96-321AABF5BD33}"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BEBB-458F-ADCD-83EABE360D45}"/>
                </c:ext>
              </c:extLst>
            </c:dLbl>
            <c:dLbl>
              <c:idx val="2"/>
              <c:layout/>
              <c:tx>
                <c:rich>
                  <a:bodyPr/>
                  <a:lstStyle/>
                  <a:p>
                    <a:fld id="{616A5508-2D03-403E-AB01-E3AD8CC6BEBE}"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4-BEBB-458F-ADCD-83EABE360D45}"/>
                </c:ext>
              </c:extLst>
            </c:dLbl>
            <c:dLbl>
              <c:idx val="3"/>
              <c:layout/>
              <c:tx>
                <c:rich>
                  <a:bodyPr/>
                  <a:lstStyle/>
                  <a:p>
                    <a:fld id="{A6A52E58-BE14-4387-B4B5-475606FA4B4A}"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8-BEBB-458F-ADCD-83EABE360D45}"/>
                </c:ext>
              </c:extLst>
            </c:dLbl>
            <c:spPr>
              <a:noFill/>
              <a:ln>
                <a:noFill/>
              </a:ln>
              <a:effectLst/>
            </c:spPr>
            <c:txPr>
              <a:bodyPr wrap="square" lIns="38100" tIns="0" rIns="38100" bIns="91440" anchor="t" anchorCtr="0">
                <a:spAutoFit/>
              </a:bodyPr>
              <a:lstStyle/>
              <a:p>
                <a:pPr>
                  <a:defRPr sz="12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DataLabelsRange val="1"/>
                <c15:showLeaderLines val="1"/>
              </c:ext>
            </c:extLst>
          </c:dLbls>
          <c:val>
            <c:numRef>
              <c:f>'Rental Affordability'!$AH$35:$AH$38</c:f>
              <c:numCache>
                <c:formatCode>#,##0</c:formatCode>
                <c:ptCount val="4"/>
                <c:pt idx="0">
                  <c:v>22</c:v>
                </c:pt>
                <c:pt idx="1">
                  <c:v>22</c:v>
                </c:pt>
                <c:pt idx="2">
                  <c:v>67</c:v>
                </c:pt>
                <c:pt idx="3">
                  <c:v>97</c:v>
                </c:pt>
              </c:numCache>
            </c:numRef>
          </c:val>
          <c:smooth val="0"/>
          <c:extLst>
            <c:ext xmlns:c15="http://schemas.microsoft.com/office/drawing/2012/chart" uri="{02D57815-91ED-43cb-92C2-25804820EDAC}">
              <c15:datalabelsRange>
                <c15:f>'Rental Affordability'!$AI$35:$AI$38</c15:f>
                <c15:dlblRangeCache>
                  <c:ptCount val="4"/>
                  <c:pt idx="0">
                    <c:v>Surplus: 
+16 units</c:v>
                  </c:pt>
                  <c:pt idx="1">
                    <c:v>Surplus: 
+10 units</c:v>
                  </c:pt>
                  <c:pt idx="2">
                    <c:v>Surplus: 
+45 units</c:v>
                  </c:pt>
                  <c:pt idx="3">
                    <c:v>Shortfall:
-70 units</c:v>
                  </c:pt>
                </c15:dlblRangeCache>
              </c15:datalabelsRange>
            </c:ext>
            <c:ext xmlns:c16="http://schemas.microsoft.com/office/drawing/2014/chart" uri="{C3380CC4-5D6E-409C-BE32-E72D297353CC}">
              <c16:uniqueId val="{00000005-BEBB-458F-ADCD-83EABE360D45}"/>
            </c:ext>
          </c:extLst>
        </c:ser>
        <c:ser>
          <c:idx val="3"/>
          <c:order val="3"/>
          <c:tx>
            <c:strRef>
              <c:f>'Rental Affordability'!$BQ$2</c:f>
              <c:strCache>
                <c:ptCount val="1"/>
              </c:strCache>
            </c:strRef>
          </c:tx>
          <c:spPr>
            <a:ln w="19050">
              <a:noFill/>
            </a:ln>
          </c:spPr>
          <c:marker>
            <c:symbol val="none"/>
          </c:marker>
          <c:cat>
            <c:numRef>
              <c:f>'Rental Affordability'!$BP$3:$BP$5</c:f>
              <c:numCache>
                <c:formatCode>General</c:formatCode>
                <c:ptCount val="3"/>
              </c:numCache>
            </c:numRef>
          </c:cat>
          <c:val>
            <c:numRef>
              <c:f>'Rental Affordability'!$BQ$3:$BQ$5</c:f>
              <c:numCache>
                <c:formatCode>General</c:formatCode>
                <c:ptCount val="3"/>
                <c:pt idx="0">
                  <c:v>0</c:v>
                </c:pt>
                <c:pt idx="1">
                  <c:v>0</c:v>
                </c:pt>
              </c:numCache>
            </c:numRef>
          </c:val>
          <c:smooth val="0"/>
          <c:extLst>
            <c:ext xmlns:c16="http://schemas.microsoft.com/office/drawing/2014/chart" uri="{C3380CC4-5D6E-409C-BE32-E72D297353CC}">
              <c16:uniqueId val="{00000000-B15A-4130-A34F-EBDAA8832900}"/>
            </c:ext>
          </c:extLst>
        </c:ser>
        <c:ser>
          <c:idx val="4"/>
          <c:order val="4"/>
          <c:tx>
            <c:strRef>
              <c:f>'Rental Affordability'!$BR$2</c:f>
              <c:strCache>
                <c:ptCount val="1"/>
              </c:strCache>
            </c:strRef>
          </c:tx>
          <c:spPr>
            <a:ln w="19050">
              <a:noFill/>
            </a:ln>
          </c:spPr>
          <c:marker>
            <c:symbol val="none"/>
          </c:marker>
          <c:cat>
            <c:numRef>
              <c:f>'Rental Affordability'!$BP$3:$BP$5</c:f>
              <c:numCache>
                <c:formatCode>General</c:formatCode>
                <c:ptCount val="3"/>
              </c:numCache>
            </c:numRef>
          </c:cat>
          <c:val>
            <c:numRef>
              <c:f>'Rental Affordability'!$BR$3:$BR$5</c:f>
              <c:numCache>
                <c:formatCode>General</c:formatCode>
                <c:ptCount val="3"/>
              </c:numCache>
            </c:numRef>
          </c:val>
          <c:smooth val="0"/>
          <c:extLst>
            <c:ext xmlns:c16="http://schemas.microsoft.com/office/drawing/2014/chart" uri="{C3380CC4-5D6E-409C-BE32-E72D297353CC}">
              <c16:uniqueId val="{00000001-B15A-4130-A34F-EBDAA8832900}"/>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100" b="1" i="0" u="none" strike="noStrike" kern="1200" baseline="0">
                    <a:solidFill>
                      <a:srgbClr val="000000">
                        <a:lumMod val="65000"/>
                        <a:lumOff val="35000"/>
                      </a:srgbClr>
                    </a:solidFill>
                    <a:latin typeface="+mj-lt"/>
                    <a:ea typeface="+mn-ea"/>
                    <a:cs typeface="+mn-cs"/>
                  </a:defRPr>
                </a:pPr>
                <a:r>
                  <a:rPr lang="en-US" sz="1100" b="1" i="0" u="none" strike="noStrike" kern="1200" baseline="0">
                    <a:solidFill>
                      <a:srgbClr val="000000">
                        <a:lumMod val="65000"/>
                        <a:lumOff val="35000"/>
                      </a:srgbClr>
                    </a:solidFill>
                    <a:latin typeface="+mj-lt"/>
                    <a:ea typeface="+mn-ea"/>
                    <a:cs typeface="+mn-cs"/>
                  </a:rPr>
                  <a:t>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215819897512811"/>
          <c:y val="3.7222945557002222E-2"/>
          <c:w val="0.776005655543057"/>
          <c:h val="0.72366596807066408"/>
        </c:manualLayout>
      </c:layout>
      <c:barChart>
        <c:barDir val="bar"/>
        <c:grouping val="percentStacked"/>
        <c:varyColors val="0"/>
        <c:ser>
          <c:idx val="0"/>
          <c:order val="0"/>
          <c:tx>
            <c:strRef>
              <c:f>Income!$AA$110</c:f>
              <c:strCache>
                <c:ptCount val="1"/>
                <c:pt idx="0">
                  <c:v>Extremely Low-Income (≤30% AMI)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Income!$AB$110:$AG$110</c:f>
              <c:numCache>
                <c:formatCode>0%</c:formatCode>
                <c:ptCount val="6"/>
                <c:pt idx="0">
                  <c:v>0</c:v>
                </c:pt>
                <c:pt idx="1">
                  <c:v>0</c:v>
                </c:pt>
                <c:pt idx="2">
                  <c:v>3.9603960396039604E-2</c:v>
                </c:pt>
                <c:pt idx="3">
                  <c:v>0</c:v>
                </c:pt>
                <c:pt idx="4">
                  <c:v>0.14878892733564014</c:v>
                </c:pt>
                <c:pt idx="5">
                  <c:v>0.12740384615384615</c:v>
                </c:pt>
              </c:numCache>
            </c:numRef>
          </c:val>
          <c:extLst>
            <c:ext xmlns:c16="http://schemas.microsoft.com/office/drawing/2014/chart" uri="{C3380CC4-5D6E-409C-BE32-E72D297353CC}">
              <c16:uniqueId val="{00000000-B02F-4B27-A9F4-98264A47DDC5}"/>
            </c:ext>
          </c:extLst>
        </c:ser>
        <c:ser>
          <c:idx val="1"/>
          <c:order val="1"/>
          <c:tx>
            <c:strRef>
              <c:f>Income!$AA$111</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Income!$AB$111:$AG$111</c:f>
              <c:numCache>
                <c:formatCode>0%</c:formatCode>
                <c:ptCount val="6"/>
                <c:pt idx="0">
                  <c:v>0</c:v>
                </c:pt>
                <c:pt idx="1">
                  <c:v>0</c:v>
                </c:pt>
                <c:pt idx="2">
                  <c:v>0</c:v>
                </c:pt>
                <c:pt idx="3">
                  <c:v>0</c:v>
                </c:pt>
                <c:pt idx="4">
                  <c:v>0.15570934256055363</c:v>
                </c:pt>
                <c:pt idx="5">
                  <c:v>0.10817307692307693</c:v>
                </c:pt>
              </c:numCache>
            </c:numRef>
          </c:val>
          <c:extLst>
            <c:ext xmlns:c16="http://schemas.microsoft.com/office/drawing/2014/chart" uri="{C3380CC4-5D6E-409C-BE32-E72D297353CC}">
              <c16:uniqueId val="{00000001-B02F-4B27-A9F4-98264A47DDC5}"/>
            </c:ext>
          </c:extLst>
        </c:ser>
        <c:ser>
          <c:idx val="2"/>
          <c:order val="2"/>
          <c:tx>
            <c:strRef>
              <c:f>Income!$AA$112</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Income!$AB$112:$AG$112</c:f>
              <c:numCache>
                <c:formatCode>0%</c:formatCode>
                <c:ptCount val="6"/>
                <c:pt idx="0">
                  <c:v>0</c:v>
                </c:pt>
                <c:pt idx="1">
                  <c:v>0</c:v>
                </c:pt>
                <c:pt idx="2">
                  <c:v>0.13861386138613863</c:v>
                </c:pt>
                <c:pt idx="3">
                  <c:v>0</c:v>
                </c:pt>
                <c:pt idx="4">
                  <c:v>0.11418685121107267</c:v>
                </c:pt>
                <c:pt idx="5">
                  <c:v>0.12980769230769232</c:v>
                </c:pt>
              </c:numCache>
            </c:numRef>
          </c:val>
          <c:extLst>
            <c:ext xmlns:c16="http://schemas.microsoft.com/office/drawing/2014/chart" uri="{C3380CC4-5D6E-409C-BE32-E72D297353CC}">
              <c16:uniqueId val="{00000002-B02F-4B27-A9F4-98264A47DDC5}"/>
            </c:ext>
          </c:extLst>
        </c:ser>
        <c:ser>
          <c:idx val="3"/>
          <c:order val="3"/>
          <c:tx>
            <c:strRef>
              <c:f>Income!$AA$113</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Income!$AB$113:$AG$113</c:f>
              <c:numCache>
                <c:formatCode>0%</c:formatCode>
                <c:ptCount val="6"/>
                <c:pt idx="0">
                  <c:v>0</c:v>
                </c:pt>
                <c:pt idx="1">
                  <c:v>0</c:v>
                </c:pt>
                <c:pt idx="2">
                  <c:v>0.18811881188118812</c:v>
                </c:pt>
                <c:pt idx="3">
                  <c:v>0</c:v>
                </c:pt>
                <c:pt idx="4">
                  <c:v>0.13494809688581316</c:v>
                </c:pt>
                <c:pt idx="5">
                  <c:v>0.14423076923076922</c:v>
                </c:pt>
              </c:numCache>
            </c:numRef>
          </c:val>
          <c:extLst>
            <c:ext xmlns:c16="http://schemas.microsoft.com/office/drawing/2014/chart" uri="{C3380CC4-5D6E-409C-BE32-E72D297353CC}">
              <c16:uniqueId val="{00000003-B02F-4B27-A9F4-98264A47DDC5}"/>
            </c:ext>
          </c:extLst>
        </c:ser>
        <c:ser>
          <c:idx val="4"/>
          <c:order val="4"/>
          <c:tx>
            <c:strRef>
              <c:f>Income!$AA$114</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Income!$AB$114:$AG$114</c:f>
              <c:numCache>
                <c:formatCode>0%</c:formatCode>
                <c:ptCount val="6"/>
                <c:pt idx="0">
                  <c:v>0</c:v>
                </c:pt>
                <c:pt idx="1">
                  <c:v>0</c:v>
                </c:pt>
                <c:pt idx="2">
                  <c:v>0.63366336633663367</c:v>
                </c:pt>
                <c:pt idx="3">
                  <c:v>0</c:v>
                </c:pt>
                <c:pt idx="4">
                  <c:v>0.44636678200692043</c:v>
                </c:pt>
                <c:pt idx="5">
                  <c:v>0.49038461538461536</c:v>
                </c:pt>
              </c:numCache>
            </c:numRef>
          </c:val>
          <c:extLst>
            <c:ext xmlns:c16="http://schemas.microsoft.com/office/drawing/2014/chart" uri="{C3380CC4-5D6E-409C-BE32-E72D297353CC}">
              <c16:uniqueId val="{00000004-B02F-4B27-A9F4-98264A47DDC5}"/>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zero"/>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075896762904636"/>
          <c:y val="5.1111931321084859E-2"/>
          <c:w val="0.64703740157480305"/>
          <c:h val="0.72770805993000875"/>
        </c:manualLayout>
      </c:layout>
      <c:barChart>
        <c:barDir val="col"/>
        <c:grouping val="stacked"/>
        <c:varyColors val="0"/>
        <c:ser>
          <c:idx val="0"/>
          <c:order val="0"/>
          <c:tx>
            <c:strRef>
              <c:f>Income!$AA$101</c:f>
              <c:strCache>
                <c:ptCount val="1"/>
                <c:pt idx="0">
                  <c:v>Extremely Low-Income (≤30% AMI)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Income!$AB$101:$AG$101</c:f>
              <c:numCache>
                <c:formatCode>#,##0</c:formatCode>
                <c:ptCount val="6"/>
                <c:pt idx="0">
                  <c:v>0</c:v>
                </c:pt>
                <c:pt idx="1">
                  <c:v>0</c:v>
                </c:pt>
                <c:pt idx="2">
                  <c:v>0</c:v>
                </c:pt>
                <c:pt idx="3">
                  <c:v>4</c:v>
                </c:pt>
                <c:pt idx="4">
                  <c:v>0</c:v>
                </c:pt>
                <c:pt idx="5">
                  <c:v>43</c:v>
                </c:pt>
              </c:numCache>
            </c:numRef>
          </c:val>
          <c:extLst>
            <c:ext xmlns:c16="http://schemas.microsoft.com/office/drawing/2014/chart" uri="{C3380CC4-5D6E-409C-BE32-E72D297353CC}">
              <c16:uniqueId val="{00000000-72BE-4BE9-ADC7-4A97C3C16C7B}"/>
            </c:ext>
          </c:extLst>
        </c:ser>
        <c:ser>
          <c:idx val="1"/>
          <c:order val="1"/>
          <c:tx>
            <c:strRef>
              <c:f>Income!$AA$102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Income!$AB$102:$AG$102</c:f>
              <c:numCache>
                <c:formatCode>#,##0</c:formatCode>
                <c:ptCount val="6"/>
                <c:pt idx="0">
                  <c:v>0</c:v>
                </c:pt>
                <c:pt idx="1">
                  <c:v>0</c:v>
                </c:pt>
                <c:pt idx="2">
                  <c:v>0</c:v>
                </c:pt>
                <c:pt idx="3">
                  <c:v>0</c:v>
                </c:pt>
                <c:pt idx="4">
                  <c:v>0</c:v>
                </c:pt>
                <c:pt idx="5">
                  <c:v>45</c:v>
                </c:pt>
              </c:numCache>
            </c:numRef>
          </c:val>
          <c:extLst>
            <c:ext xmlns:c16="http://schemas.microsoft.com/office/drawing/2014/chart" uri="{C3380CC4-5D6E-409C-BE32-E72D297353CC}">
              <c16:uniqueId val="{00000001-72BE-4BE9-ADC7-4A97C3C16C7B}"/>
            </c:ext>
          </c:extLst>
        </c:ser>
        <c:ser>
          <c:idx val="2"/>
          <c:order val="2"/>
          <c:tx>
            <c:strRef>
              <c:f>Income!$AA$103</c:f>
              <c:strCache>
                <c:ptCount val="1"/>
                <c:pt idx="0">
                  <c:v>Low-Income (50-80%)</c:v>
                </c:pt>
              </c:strCache>
            </c:strRef>
          </c:tx>
          <c:spPr>
            <a:solidFill>
              <a:schemeClr val="accent1">
                <a:lumMod val="40000"/>
                <a:lumOff val="6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Income!$AB$103:$AG$103</c:f>
              <c:numCache>
                <c:formatCode>#,##0</c:formatCode>
                <c:ptCount val="6"/>
                <c:pt idx="0">
                  <c:v>0</c:v>
                </c:pt>
                <c:pt idx="1">
                  <c:v>0</c:v>
                </c:pt>
                <c:pt idx="2">
                  <c:v>0</c:v>
                </c:pt>
                <c:pt idx="3">
                  <c:v>14</c:v>
                </c:pt>
                <c:pt idx="4">
                  <c:v>0</c:v>
                </c:pt>
                <c:pt idx="5">
                  <c:v>33</c:v>
                </c:pt>
              </c:numCache>
            </c:numRef>
          </c:val>
          <c:extLst>
            <c:ext xmlns:c16="http://schemas.microsoft.com/office/drawing/2014/chart" uri="{C3380CC4-5D6E-409C-BE32-E72D297353CC}">
              <c16:uniqueId val="{00000000-0B15-4C7B-BAA3-246134088461}"/>
            </c:ext>
          </c:extLst>
        </c:ser>
        <c:ser>
          <c:idx val="3"/>
          <c:order val="3"/>
          <c:tx>
            <c:strRef>
              <c:f>Income!$AA$104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Income!$AB$104:$AG$104</c:f>
              <c:numCache>
                <c:formatCode>#,##0</c:formatCode>
                <c:ptCount val="6"/>
                <c:pt idx="0">
                  <c:v>4</c:v>
                </c:pt>
                <c:pt idx="1">
                  <c:v>0</c:v>
                </c:pt>
                <c:pt idx="2">
                  <c:v>0</c:v>
                </c:pt>
                <c:pt idx="3">
                  <c:v>19</c:v>
                </c:pt>
                <c:pt idx="4">
                  <c:v>0</c:v>
                </c:pt>
                <c:pt idx="5">
                  <c:v>39</c:v>
                </c:pt>
              </c:numCache>
            </c:numRef>
          </c:val>
          <c:extLst>
            <c:ext xmlns:c16="http://schemas.microsoft.com/office/drawing/2014/chart" uri="{C3380CC4-5D6E-409C-BE32-E72D297353CC}">
              <c16:uniqueId val="{00000001-0B15-4C7B-BAA3-246134088461}"/>
            </c:ext>
          </c:extLst>
        </c:ser>
        <c:ser>
          <c:idx val="4"/>
          <c:order val="4"/>
          <c:tx>
            <c:strRef>
              <c:f>Income!$AA$105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Income!$AB$105:$AG$105</c:f>
              <c:numCache>
                <c:formatCode>#,##0</c:formatCode>
                <c:ptCount val="6"/>
                <c:pt idx="0">
                  <c:v>0</c:v>
                </c:pt>
                <c:pt idx="1">
                  <c:v>0</c:v>
                </c:pt>
                <c:pt idx="2">
                  <c:v>0</c:v>
                </c:pt>
                <c:pt idx="3">
                  <c:v>64</c:v>
                </c:pt>
                <c:pt idx="4">
                  <c:v>0</c:v>
                </c:pt>
                <c:pt idx="5">
                  <c:v>129</c:v>
                </c:pt>
              </c:numCache>
            </c:numRef>
          </c:val>
          <c:extLst>
            <c:ext xmlns:c16="http://schemas.microsoft.com/office/drawing/2014/chart" uri="{C3380CC4-5D6E-409C-BE32-E72D297353CC}">
              <c16:uniqueId val="{00000002-0B15-4C7B-BAA3-246134088461}"/>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80555555555555558"/>
          <c:y val="0.16351022528433948"/>
          <c:w val="0.18253968253968253"/>
          <c:h val="0.68339621609798773"/>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0967722784651915"/>
          <c:y val="3.7222945557002222E-2"/>
          <c:w val="0.78791041744781898"/>
          <c:h val="0.68398534885047679"/>
        </c:manualLayout>
      </c:layout>
      <c:barChart>
        <c:barDir val="bar"/>
        <c:grouping val="percent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Income!$AF$121:$AH$121</c:f>
              <c:numCache>
                <c:formatCode>0%</c:formatCode>
                <c:ptCount val="3"/>
                <c:pt idx="0">
                  <c:v>3.9603960396039604E-2</c:v>
                </c:pt>
                <c:pt idx="1">
                  <c:v>0.23076923076923078</c:v>
                </c:pt>
                <c:pt idx="2">
                  <c:v>0.14878892733564014</c:v>
                </c:pt>
              </c:numCache>
            </c:numRef>
          </c:val>
          <c:extLst>
            <c:ext xmlns:c16="http://schemas.microsoft.com/office/drawing/2014/chart" uri="{C3380CC4-5D6E-409C-BE32-E72D297353CC}">
              <c16:uniqueId val="{00000001-CD4D-46C0-A50F-5AD85FFB0A04}"/>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Income!$AF$122:$AH$122</c:f>
              <c:numCache>
                <c:formatCode>0%</c:formatCode>
                <c:ptCount val="3"/>
                <c:pt idx="0">
                  <c:v>0</c:v>
                </c:pt>
                <c:pt idx="1">
                  <c:v>0</c:v>
                </c:pt>
                <c:pt idx="2">
                  <c:v>0.15570934256055363</c:v>
                </c:pt>
              </c:numCache>
            </c:numRef>
          </c:val>
          <c:extLst>
            <c:ext xmlns:c16="http://schemas.microsoft.com/office/drawing/2014/chart" uri="{C3380CC4-5D6E-409C-BE32-E72D297353CC}">
              <c16:uniqueId val="{00000003-CD4D-46C0-A50F-5AD85FFB0A04}"/>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Income!$AF$123:$AH$123</c:f>
              <c:numCache>
                <c:formatCode>0%</c:formatCode>
                <c:ptCount val="3"/>
                <c:pt idx="0">
                  <c:v>0.13861386138613863</c:v>
                </c:pt>
                <c:pt idx="1">
                  <c:v>0.26923076923076922</c:v>
                </c:pt>
                <c:pt idx="2">
                  <c:v>0.11418685121107267</c:v>
                </c:pt>
              </c:numCache>
            </c:numRef>
          </c:val>
          <c:extLst>
            <c:ext xmlns:c16="http://schemas.microsoft.com/office/drawing/2014/chart" uri="{C3380CC4-5D6E-409C-BE32-E72D297353CC}">
              <c16:uniqueId val="{00000005-CD4D-46C0-A50F-5AD85FFB0A04}"/>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Income!$AF$124:$AH$124</c:f>
              <c:numCache>
                <c:formatCode>0%</c:formatCode>
                <c:ptCount val="3"/>
                <c:pt idx="0">
                  <c:v>0.18811881188118812</c:v>
                </c:pt>
                <c:pt idx="1">
                  <c:v>7.6923076923076927E-2</c:v>
                </c:pt>
                <c:pt idx="2">
                  <c:v>0.13494809688581316</c:v>
                </c:pt>
              </c:numCache>
            </c:numRef>
          </c:val>
          <c:extLst>
            <c:ext xmlns:c16="http://schemas.microsoft.com/office/drawing/2014/chart" uri="{C3380CC4-5D6E-409C-BE32-E72D297353CC}">
              <c16:uniqueId val="{00000007-CD4D-46C0-A50F-5AD85FFB0A04}"/>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Income!$AF$125:$AH$125</c:f>
              <c:numCache>
                <c:formatCode>0%</c:formatCode>
                <c:ptCount val="3"/>
                <c:pt idx="0">
                  <c:v>0.63366336633663367</c:v>
                </c:pt>
                <c:pt idx="1">
                  <c:v>0.42307692307692307</c:v>
                </c:pt>
                <c:pt idx="2">
                  <c:v>0.44636678200692043</c:v>
                </c:pt>
              </c:numCache>
            </c:numRef>
          </c:val>
          <c:extLst>
            <c:ext xmlns:c16="http://schemas.microsoft.com/office/drawing/2014/chart" uri="{C3380CC4-5D6E-409C-BE32-E72D297353CC}">
              <c16:uniqueId val="{00000009-CD4D-46C0-A50F-5AD85FFB0A04}"/>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182867766529182"/>
          <c:y val="4.0695264654418195E-2"/>
          <c:w val="0.60140232470941135"/>
          <c:h val="0.76737436953214744"/>
        </c:manualLayout>
      </c:layout>
      <c:barChart>
        <c:barDir val="col"/>
        <c:grouping val="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sz="1100"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Income!$AB$121:$AD$121</c:f>
              <c:numCache>
                <c:formatCode>#,##0</c:formatCode>
                <c:ptCount val="3"/>
                <c:pt idx="0">
                  <c:v>4</c:v>
                </c:pt>
                <c:pt idx="1">
                  <c:v>6</c:v>
                </c:pt>
                <c:pt idx="2">
                  <c:v>43</c:v>
                </c:pt>
              </c:numCache>
            </c:numRef>
          </c:val>
          <c:extLst>
            <c:ext xmlns:c16="http://schemas.microsoft.com/office/drawing/2014/chart" uri="{C3380CC4-5D6E-409C-BE32-E72D297353CC}">
              <c16:uniqueId val="{00000006-EB36-4DE0-A434-1F2C207013BB}"/>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Income!$AB$122:$AD$122</c:f>
              <c:numCache>
                <c:formatCode>#,##0</c:formatCode>
                <c:ptCount val="3"/>
                <c:pt idx="0">
                  <c:v>0</c:v>
                </c:pt>
                <c:pt idx="1">
                  <c:v>0</c:v>
                </c:pt>
                <c:pt idx="2">
                  <c:v>45</c:v>
                </c:pt>
              </c:numCache>
            </c:numRef>
          </c:val>
          <c:extLst>
            <c:ext xmlns:c16="http://schemas.microsoft.com/office/drawing/2014/chart" uri="{C3380CC4-5D6E-409C-BE32-E72D297353CC}">
              <c16:uniqueId val="{00000008-EB36-4DE0-A434-1F2C207013BB}"/>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Income!$AB$123:$AD$123</c:f>
              <c:numCache>
                <c:formatCode>#,##0</c:formatCode>
                <c:ptCount val="3"/>
                <c:pt idx="0">
                  <c:v>14</c:v>
                </c:pt>
                <c:pt idx="1">
                  <c:v>7</c:v>
                </c:pt>
                <c:pt idx="2">
                  <c:v>33</c:v>
                </c:pt>
              </c:numCache>
            </c:numRef>
          </c:val>
          <c:extLst>
            <c:ext xmlns:c16="http://schemas.microsoft.com/office/drawing/2014/chart" uri="{C3380CC4-5D6E-409C-BE32-E72D297353CC}">
              <c16:uniqueId val="{0000000A-EB36-4DE0-A434-1F2C207013BB}"/>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Income!$AB$124:$AD$124</c:f>
              <c:numCache>
                <c:formatCode>#,##0</c:formatCode>
                <c:ptCount val="3"/>
                <c:pt idx="0">
                  <c:v>19</c:v>
                </c:pt>
                <c:pt idx="1">
                  <c:v>2</c:v>
                </c:pt>
                <c:pt idx="2">
                  <c:v>39</c:v>
                </c:pt>
              </c:numCache>
            </c:numRef>
          </c:val>
          <c:extLst>
            <c:ext xmlns:c16="http://schemas.microsoft.com/office/drawing/2014/chart" uri="{C3380CC4-5D6E-409C-BE32-E72D297353CC}">
              <c16:uniqueId val="{0000000C-EB36-4DE0-A434-1F2C207013BB}"/>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Income!$AB$125:$AD$125</c:f>
              <c:numCache>
                <c:formatCode>#,##0</c:formatCode>
                <c:ptCount val="3"/>
                <c:pt idx="0">
                  <c:v>64</c:v>
                </c:pt>
                <c:pt idx="1">
                  <c:v>11</c:v>
                </c:pt>
                <c:pt idx="2">
                  <c:v>129</c:v>
                </c:pt>
              </c:numCache>
            </c:numRef>
          </c:val>
          <c:extLst>
            <c:ext xmlns:c16="http://schemas.microsoft.com/office/drawing/2014/chart" uri="{C3380CC4-5D6E-409C-BE32-E72D297353CC}">
              <c16:uniqueId val="{0000000E-EB36-4DE0-A434-1F2C207013BB}"/>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05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7624007545931758"/>
          <c:y val="7.6704669728783897E-2"/>
          <c:w val="0.22767853237095362"/>
          <c:h val="0.8917295494313211"/>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396294213223343"/>
          <c:y val="2.5955417544637906E-2"/>
          <c:w val="0.82362470316210479"/>
          <c:h val="0.84060319896441182"/>
        </c:manualLayout>
      </c:layout>
      <c:barChart>
        <c:barDir val="bar"/>
        <c:grouping val="percentStacked"/>
        <c:varyColors val="0"/>
        <c:ser>
          <c:idx val="0"/>
          <c:order val="0"/>
          <c:tx>
            <c:strRef>
              <c:f>Income!$C$148:$C$150</c:f>
              <c:strCache>
                <c:ptCount val="3"/>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Income!$C$151:$C$168</c:f>
              <c:numCache>
                <c:formatCode>0%</c:formatCode>
                <c:ptCount val="18"/>
                <c:pt idx="1">
                  <c:v>0.12114989733059549</c:v>
                </c:pt>
                <c:pt idx="2">
                  <c:v>0.12740384615384615</c:v>
                </c:pt>
                <c:pt idx="4">
                  <c:v>0</c:v>
                </c:pt>
                <c:pt idx="5">
                  <c:v>0</c:v>
                </c:pt>
                <c:pt idx="7">
                  <c:v>0</c:v>
                </c:pt>
                <c:pt idx="8">
                  <c:v>0</c:v>
                </c:pt>
                <c:pt idx="10">
                  <c:v>0</c:v>
                </c:pt>
                <c:pt idx="11">
                  <c:v>3.9603960396039604E-2</c:v>
                </c:pt>
                <c:pt idx="13">
                  <c:v>0</c:v>
                </c:pt>
                <c:pt idx="14">
                  <c:v>0.23076923076923078</c:v>
                </c:pt>
                <c:pt idx="16">
                  <c:v>0.14824120603015076</c:v>
                </c:pt>
                <c:pt idx="17">
                  <c:v>0.14878892733564014</c:v>
                </c:pt>
              </c:numCache>
            </c:numRef>
          </c:val>
          <c:extLst>
            <c:ext xmlns:c16="http://schemas.microsoft.com/office/drawing/2014/chart" uri="{C3380CC4-5D6E-409C-BE32-E72D297353CC}">
              <c16:uniqueId val="{00000000-82E5-4D31-A00C-20111512A476}"/>
            </c:ext>
          </c:extLst>
        </c:ser>
        <c:ser>
          <c:idx val="1"/>
          <c:order val="1"/>
          <c:tx>
            <c:strRef>
              <c:f>Income!$D$148:$D$150</c:f>
              <c:strCache>
                <c:ptCount val="3"/>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Income!$D$151:$D$168</c:f>
              <c:numCache>
                <c:formatCode>0%</c:formatCode>
                <c:ptCount val="18"/>
                <c:pt idx="1">
                  <c:v>0.13141683778234087</c:v>
                </c:pt>
                <c:pt idx="2">
                  <c:v>0.10817307692307693</c:v>
                </c:pt>
                <c:pt idx="4">
                  <c:v>0</c:v>
                </c:pt>
                <c:pt idx="5">
                  <c:v>0</c:v>
                </c:pt>
                <c:pt idx="7">
                  <c:v>0</c:v>
                </c:pt>
                <c:pt idx="8">
                  <c:v>0</c:v>
                </c:pt>
                <c:pt idx="10">
                  <c:v>0.26027397260273971</c:v>
                </c:pt>
                <c:pt idx="11">
                  <c:v>0</c:v>
                </c:pt>
                <c:pt idx="13">
                  <c:v>0</c:v>
                </c:pt>
                <c:pt idx="14">
                  <c:v>0</c:v>
                </c:pt>
                <c:pt idx="16">
                  <c:v>0.11306532663316583</c:v>
                </c:pt>
                <c:pt idx="17">
                  <c:v>0.15570934256055363</c:v>
                </c:pt>
              </c:numCache>
            </c:numRef>
          </c:val>
          <c:extLst>
            <c:ext xmlns:c16="http://schemas.microsoft.com/office/drawing/2014/chart" uri="{C3380CC4-5D6E-409C-BE32-E72D297353CC}">
              <c16:uniqueId val="{00000001-82E5-4D31-A00C-20111512A476}"/>
            </c:ext>
          </c:extLst>
        </c:ser>
        <c:ser>
          <c:idx val="2"/>
          <c:order val="2"/>
          <c:tx>
            <c:strRef>
              <c:f>Income!$E$148:$E$150</c:f>
              <c:strCache>
                <c:ptCount val="3"/>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Income!$E$151:$E$168</c:f>
              <c:numCache>
                <c:formatCode>0%</c:formatCode>
                <c:ptCount val="18"/>
                <c:pt idx="1">
                  <c:v>0.22587268993839835</c:v>
                </c:pt>
                <c:pt idx="2">
                  <c:v>0.12980769230769232</c:v>
                </c:pt>
                <c:pt idx="4">
                  <c:v>0</c:v>
                </c:pt>
                <c:pt idx="5">
                  <c:v>0</c:v>
                </c:pt>
                <c:pt idx="7">
                  <c:v>0</c:v>
                </c:pt>
                <c:pt idx="8">
                  <c:v>0</c:v>
                </c:pt>
                <c:pt idx="10">
                  <c:v>0.26027397260273971</c:v>
                </c:pt>
                <c:pt idx="11">
                  <c:v>0.13861386138613863</c:v>
                </c:pt>
                <c:pt idx="13">
                  <c:v>0.22222222222222221</c:v>
                </c:pt>
                <c:pt idx="14">
                  <c:v>0.26923076923076922</c:v>
                </c:pt>
                <c:pt idx="16">
                  <c:v>0.22613065326633167</c:v>
                </c:pt>
                <c:pt idx="17">
                  <c:v>0.11418685121107267</c:v>
                </c:pt>
              </c:numCache>
            </c:numRef>
          </c:val>
          <c:extLst>
            <c:ext xmlns:c16="http://schemas.microsoft.com/office/drawing/2014/chart" uri="{C3380CC4-5D6E-409C-BE32-E72D297353CC}">
              <c16:uniqueId val="{00000002-82E5-4D31-A00C-20111512A476}"/>
            </c:ext>
          </c:extLst>
        </c:ser>
        <c:ser>
          <c:idx val="3"/>
          <c:order val="3"/>
          <c:tx>
            <c:strRef>
              <c:f>Income!$F$148:$F$150</c:f>
              <c:strCache>
                <c:ptCount val="3"/>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Income!$F$151:$F$168</c:f>
              <c:numCache>
                <c:formatCode>0%</c:formatCode>
                <c:ptCount val="18"/>
                <c:pt idx="1">
                  <c:v>8.0082135523613956E-2</c:v>
                </c:pt>
                <c:pt idx="2">
                  <c:v>0.14423076923076922</c:v>
                </c:pt>
                <c:pt idx="4">
                  <c:v>0</c:v>
                </c:pt>
                <c:pt idx="5">
                  <c:v>0</c:v>
                </c:pt>
                <c:pt idx="7">
                  <c:v>0</c:v>
                </c:pt>
                <c:pt idx="8">
                  <c:v>0</c:v>
                </c:pt>
                <c:pt idx="10">
                  <c:v>0</c:v>
                </c:pt>
                <c:pt idx="11">
                  <c:v>0.18811881188118812</c:v>
                </c:pt>
                <c:pt idx="13">
                  <c:v>0</c:v>
                </c:pt>
                <c:pt idx="14">
                  <c:v>7.6923076923076927E-2</c:v>
                </c:pt>
                <c:pt idx="16">
                  <c:v>9.7989949748743713E-2</c:v>
                </c:pt>
                <c:pt idx="17">
                  <c:v>0.13494809688581316</c:v>
                </c:pt>
              </c:numCache>
            </c:numRef>
          </c:val>
          <c:extLst>
            <c:ext xmlns:c16="http://schemas.microsoft.com/office/drawing/2014/chart" uri="{C3380CC4-5D6E-409C-BE32-E72D297353CC}">
              <c16:uniqueId val="{00000003-82E5-4D31-A00C-20111512A476}"/>
            </c:ext>
          </c:extLst>
        </c:ser>
        <c:ser>
          <c:idx val="4"/>
          <c:order val="4"/>
          <c:tx>
            <c:strRef>
              <c:f>Income!$G$148:$G$150</c:f>
              <c:strCache>
                <c:ptCount val="3"/>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Income!$G$151:$G$168</c:f>
              <c:numCache>
                <c:formatCode>0%</c:formatCode>
                <c:ptCount val="18"/>
                <c:pt idx="1">
                  <c:v>0.44147843942505133</c:v>
                </c:pt>
                <c:pt idx="2">
                  <c:v>0.49038461538461536</c:v>
                </c:pt>
                <c:pt idx="4">
                  <c:v>0</c:v>
                </c:pt>
                <c:pt idx="5">
                  <c:v>0</c:v>
                </c:pt>
                <c:pt idx="7">
                  <c:v>0</c:v>
                </c:pt>
                <c:pt idx="8">
                  <c:v>0</c:v>
                </c:pt>
                <c:pt idx="10">
                  <c:v>0.47945205479452052</c:v>
                </c:pt>
                <c:pt idx="11">
                  <c:v>0.63366336633663367</c:v>
                </c:pt>
                <c:pt idx="13">
                  <c:v>0.77777777777777779</c:v>
                </c:pt>
                <c:pt idx="14">
                  <c:v>0.42307692307692307</c:v>
                </c:pt>
                <c:pt idx="16">
                  <c:v>0.41457286432160806</c:v>
                </c:pt>
                <c:pt idx="17">
                  <c:v>0.44636678200692043</c:v>
                </c:pt>
              </c:numCache>
            </c:numRef>
          </c:val>
          <c:extLst>
            <c:ext xmlns:c16="http://schemas.microsoft.com/office/drawing/2014/chart" uri="{C3380CC4-5D6E-409C-BE32-E72D297353CC}">
              <c16:uniqueId val="{00000004-82E5-4D31-A00C-20111512A476}"/>
            </c:ext>
          </c:extLst>
        </c:ser>
        <c:dLbls>
          <c:dLblPos val="ctr"/>
          <c:showLegendKey val="0"/>
          <c:showVal val="1"/>
          <c:showCatName val="0"/>
          <c:showSerName val="0"/>
          <c:showPercent val="0"/>
          <c:showBubbleSize val="0"/>
        </c:dLbls>
        <c:gapWidth val="4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057227221597301"/>
          <c:y val="3.6645420017632824E-2"/>
          <c:w val="0.84760233095863002"/>
          <c:h val="0.74069286337658824"/>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595959"/>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(Tenure!$AI$14:$AL$14,Tenure!$AN$14)</c:f>
              <c:numCache>
                <c:formatCode>#,##0</c:formatCode>
                <c:ptCount val="5"/>
                <c:pt idx="0">
                  <c:v>0</c:v>
                </c:pt>
                <c:pt idx="1">
                  <c:v>0</c:v>
                </c:pt>
                <c:pt idx="2">
                  <c:v>40</c:v>
                </c:pt>
                <c:pt idx="3">
                  <c:v>19</c:v>
                </c:pt>
                <c:pt idx="4">
                  <c:v>225</c:v>
                </c:pt>
              </c:numCache>
            </c:numRef>
          </c:val>
          <c:extLst>
            <c:ext xmlns:c16="http://schemas.microsoft.com/office/drawing/2014/chart" uri="{C3380CC4-5D6E-409C-BE32-E72D297353CC}">
              <c16:uniqueId val="{00000000-3442-4A8E-BA17-5C19D8CCC6A3}"/>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accent3">
                        <a:lumMod val="7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(Tenure!$AI$15:$AL$15,Tenure!$AN$15)</c:f>
              <c:numCache>
                <c:formatCode>#,##0</c:formatCode>
                <c:ptCount val="5"/>
                <c:pt idx="0">
                  <c:v>0</c:v>
                </c:pt>
                <c:pt idx="1">
                  <c:v>0</c:v>
                </c:pt>
                <c:pt idx="2">
                  <c:v>65</c:v>
                </c:pt>
                <c:pt idx="3">
                  <c:v>0</c:v>
                </c:pt>
                <c:pt idx="4">
                  <c:v>60</c:v>
                </c:pt>
              </c:numCache>
            </c:numRef>
          </c:val>
          <c:extLst>
            <c:ext xmlns:c16="http://schemas.microsoft.com/office/drawing/2014/chart" uri="{C3380CC4-5D6E-409C-BE32-E72D297353CC}">
              <c16:uniqueId val="{00000001-3442-4A8E-BA17-5C19D8CCC6A3}"/>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r>
                  <a:rPr lang="en-US" b="1">
                    <a:solidFill>
                      <a:srgbClr val="595959"/>
                    </a:solidFill>
                  </a:rPr>
                  <a:t>Households</a:t>
                </a:r>
              </a:p>
            </c:rich>
          </c:tx>
          <c:layout>
            <c:manualLayout>
              <c:xMode val="edge"/>
              <c:yMode val="edge"/>
              <c:x val="1.8849206349206348E-2"/>
              <c:y val="3.0602854330708664E-2"/>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3854736907886514"/>
          <c:y val="0.91638260061242349"/>
          <c:w val="0.27865563679540056"/>
          <c:h val="6.0521603091540886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454052618422696"/>
          <c:y val="3.8194444444444448E-2"/>
          <c:w val="0.84363407699037618"/>
          <c:h val="0.72214179089089658"/>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5"/>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(Tenure!$AK$14,Tenure!$AM$14:$AN$14)</c:f>
              <c:numCache>
                <c:formatCode>#,##0</c:formatCode>
                <c:ptCount val="3"/>
                <c:pt idx="0">
                  <c:v>40</c:v>
                </c:pt>
                <c:pt idx="1">
                  <c:v>19</c:v>
                </c:pt>
                <c:pt idx="2">
                  <c:v>225</c:v>
                </c:pt>
              </c:numCache>
            </c:numRef>
          </c:val>
          <c:extLst>
            <c:ext xmlns:c16="http://schemas.microsoft.com/office/drawing/2014/chart" uri="{C3380CC4-5D6E-409C-BE32-E72D297353CC}">
              <c16:uniqueId val="{00000002-C4CA-4354-AA33-8662C918C27F}"/>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3"/>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(Tenure!$AK$15,Tenure!$AM$15:$AN$15)</c:f>
              <c:numCache>
                <c:formatCode>#,##0</c:formatCode>
                <c:ptCount val="3"/>
                <c:pt idx="0">
                  <c:v>65</c:v>
                </c:pt>
                <c:pt idx="1">
                  <c:v>0</c:v>
                </c:pt>
                <c:pt idx="2">
                  <c:v>60</c:v>
                </c:pt>
              </c:numCache>
            </c:numRef>
          </c:val>
          <c:extLst>
            <c:ext xmlns:c16="http://schemas.microsoft.com/office/drawing/2014/chart" uri="{C3380CC4-5D6E-409C-BE32-E72D297353CC}">
              <c16:uniqueId val="{00000003-C4CA-4354-AA33-8662C918C27F}"/>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r>
                  <a:rPr lang="en-US">
                    <a:solidFill>
                      <a:srgbClr val="595959"/>
                    </a:solidFill>
                  </a:rPr>
                  <a:t>Households</a:t>
                </a:r>
              </a:p>
            </c:rich>
          </c:tx>
          <c:layout>
            <c:manualLayout>
              <c:xMode val="edge"/>
              <c:yMode val="edge"/>
              <c:x val="1.488095238095238E-2"/>
              <c:y val="3.2296861329833781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40333083364579425"/>
          <c:y val="0.91608677821522322"/>
          <c:w val="0.21607589525149434"/>
          <c:h val="7.2082336967218788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(Tenure!$AI$18:$AL$18,Tenure!$AN$18)</c:f>
              <c:numCache>
                <c:formatCode>0%</c:formatCode>
                <c:ptCount val="5"/>
                <c:pt idx="0">
                  <c:v>0</c:v>
                </c:pt>
                <c:pt idx="1">
                  <c:v>0</c:v>
                </c:pt>
                <c:pt idx="2">
                  <c:v>0.38095238095238093</c:v>
                </c:pt>
                <c:pt idx="3">
                  <c:v>1</c:v>
                </c:pt>
                <c:pt idx="4">
                  <c:v>0.78947368421052633</c:v>
                </c:pt>
              </c:numCache>
            </c:numRef>
          </c:val>
          <c:extLst>
            <c:ext xmlns:c16="http://schemas.microsoft.com/office/drawing/2014/chart" uri="{C3380CC4-5D6E-409C-BE32-E72D297353CC}">
              <c16:uniqueId val="{00000000-D991-4EB9-B029-16AA6606AC87}"/>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(Tenure!$AI$19:$AL$19,Tenure!$AN$19)</c:f>
              <c:numCache>
                <c:formatCode>0%</c:formatCode>
                <c:ptCount val="5"/>
                <c:pt idx="0">
                  <c:v>0</c:v>
                </c:pt>
                <c:pt idx="1">
                  <c:v>0</c:v>
                </c:pt>
                <c:pt idx="2">
                  <c:v>0.61904761904761907</c:v>
                </c:pt>
                <c:pt idx="3">
                  <c:v>0</c:v>
                </c:pt>
                <c:pt idx="4">
                  <c:v>0.21052631578947367</c:v>
                </c:pt>
              </c:numCache>
            </c:numRef>
          </c:val>
          <c:extLst>
            <c:ext xmlns:c16="http://schemas.microsoft.com/office/drawing/2014/chart" uri="{C3380CC4-5D6E-409C-BE32-E72D297353CC}">
              <c16:uniqueId val="{00000001-D991-4EB9-B029-16AA6606AC87}"/>
            </c:ext>
          </c:extLst>
        </c:ser>
        <c:dLbls>
          <c:showLegendKey val="0"/>
          <c:showVal val="0"/>
          <c:showCatName val="0"/>
          <c:showSerName val="0"/>
          <c:showPercent val="0"/>
          <c:showBubbleSize val="0"/>
        </c:dLbls>
        <c:gapWidth val="75"/>
        <c:overlap val="100"/>
        <c:axId val="639824752"/>
        <c:axId val="639825408"/>
      </c:barChart>
      <c:catAx>
        <c:axId val="63982475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(Tenure!$AK$18,Tenure!$AM$18:$AN$18)</c:f>
              <c:numCache>
                <c:formatCode>0%</c:formatCode>
                <c:ptCount val="3"/>
                <c:pt idx="0">
                  <c:v>0.38095238095238093</c:v>
                </c:pt>
                <c:pt idx="1">
                  <c:v>1</c:v>
                </c:pt>
                <c:pt idx="2">
                  <c:v>0.78947368421052633</c:v>
                </c:pt>
              </c:numCache>
            </c:numRef>
          </c:val>
          <c:extLst>
            <c:ext xmlns:c16="http://schemas.microsoft.com/office/drawing/2014/chart" uri="{C3380CC4-5D6E-409C-BE32-E72D297353CC}">
              <c16:uniqueId val="{00000000-9808-4065-8BBE-F7AAFE7D7525}"/>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(Tenure!$AK$19,Tenure!$AM$19:$AN$19)</c:f>
              <c:numCache>
                <c:formatCode>0%</c:formatCode>
                <c:ptCount val="3"/>
                <c:pt idx="0">
                  <c:v>0.61904761904761907</c:v>
                </c:pt>
                <c:pt idx="1">
                  <c:v>0</c:v>
                </c:pt>
                <c:pt idx="2">
                  <c:v>0.21052631578947367</c:v>
                </c:pt>
              </c:numCache>
            </c:numRef>
          </c:val>
          <c:extLst>
            <c:ext xmlns:c16="http://schemas.microsoft.com/office/drawing/2014/chart" uri="{C3380CC4-5D6E-409C-BE32-E72D297353CC}">
              <c16:uniqueId val="{00000001-9808-4065-8BBE-F7AAFE7D7525}"/>
            </c:ext>
          </c:extLst>
        </c:ser>
        <c:dLbls>
          <c:showLegendKey val="0"/>
          <c:showVal val="0"/>
          <c:showCatName val="0"/>
          <c:showSerName val="0"/>
          <c:showPercent val="0"/>
          <c:showBubbleSize val="0"/>
        </c:dLbls>
        <c:gapWidth val="75"/>
        <c:overlap val="100"/>
        <c:axId val="639824752"/>
        <c:axId val="639825408"/>
      </c:barChart>
      <c:catAx>
        <c:axId val="63982475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4.2960848746262326E-2"/>
          <c:w val="0.51986322500836557"/>
          <c:h val="0.80696276246719156"/>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Entiat</c:v>
                  </c:pt>
                  <c:pt idx="2">
                    <c:v>Chelan County</c:v>
                  </c:pt>
                </c:lvl>
              </c:multiLvlStrCache>
            </c:multiLvlStrRef>
          </c:cat>
          <c:val>
            <c:numRef>
              <c:f>('Racial Composition'!$AG$39:$AH$39,'Racial Composition'!$AM$39:$AN$39)</c:f>
              <c:numCache>
                <c:formatCode>0%</c:formatCode>
                <c:ptCount val="4"/>
                <c:pt idx="0">
                  <c:v>0.77899159663865547</c:v>
                </c:pt>
                <c:pt idx="1">
                  <c:v>0.61846153846153851</c:v>
                </c:pt>
                <c:pt idx="2">
                  <c:v>0.68963334994008108</c:v>
                </c:pt>
                <c:pt idx="3">
                  <c:v>0.67526385138220291</c:v>
                </c:pt>
              </c:numCache>
              <c:extLst/>
            </c:numRef>
          </c:val>
          <c:extLst>
            <c:ext xmlns:c16="http://schemas.microsoft.com/office/drawing/2014/chart" uri="{C3380CC4-5D6E-409C-BE32-E72D297353CC}">
              <c16:uniqueId val="{00000000-9F26-4FA5-8467-5C31C0AD8562}"/>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Entiat</c:v>
                  </c:pt>
                  <c:pt idx="2">
                    <c:v>Chelan County</c:v>
                  </c:pt>
                </c:lvl>
              </c:multiLvlStrCache>
            </c:multiLvlStrRef>
          </c:cat>
          <c:val>
            <c:numRef>
              <c:f>('Racial Composition'!$AG$38:$AH$38,'Racial Composition'!$AM$38:$AN$38)</c:f>
              <c:numCache>
                <c:formatCode>0%</c:formatCode>
                <c:ptCount val="4"/>
                <c:pt idx="0">
                  <c:v>3.6974789915966387E-2</c:v>
                </c:pt>
                <c:pt idx="1">
                  <c:v>0.13333333333333333</c:v>
                </c:pt>
                <c:pt idx="2">
                  <c:v>3.8388517107194313E-2</c:v>
                </c:pt>
                <c:pt idx="3">
                  <c:v>4.3846946629616579E-2</c:v>
                </c:pt>
              </c:numCache>
              <c:extLst/>
            </c:numRef>
          </c:val>
          <c:extLst>
            <c:ext xmlns:c16="http://schemas.microsoft.com/office/drawing/2014/chart" uri="{C3380CC4-5D6E-409C-BE32-E72D297353CC}">
              <c16:uniqueId val="{00000001-9F26-4FA5-8467-5C31C0AD8562}"/>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Entiat</c:v>
                  </c:pt>
                  <c:pt idx="2">
                    <c:v>Chelan County</c:v>
                  </c:pt>
                </c:lvl>
              </c:multiLvlStrCache>
            </c:multiLvlStrRef>
          </c:cat>
          <c:val>
            <c:numRef>
              <c:f>('Racial Composition'!$AG$37:$AH$37,'Racial Composition'!$AM$37:$AN$37)</c:f>
              <c:numCache>
                <c:formatCode>0%</c:formatCode>
                <c:ptCount val="4"/>
                <c:pt idx="0">
                  <c:v>0.18403361344537816</c:v>
                </c:pt>
                <c:pt idx="1">
                  <c:v>0.24820512820512822</c:v>
                </c:pt>
                <c:pt idx="2">
                  <c:v>0.2719781329527246</c:v>
                </c:pt>
                <c:pt idx="3">
                  <c:v>0.28088920198818051</c:v>
                </c:pt>
              </c:numCache>
              <c:extLst/>
            </c:numRef>
          </c:val>
          <c:extLst>
            <c:ext xmlns:c16="http://schemas.microsoft.com/office/drawing/2014/chart" uri="{C3380CC4-5D6E-409C-BE32-E72D297353CC}">
              <c16:uniqueId val="{00000002-9F26-4FA5-8467-5C31C0AD8562}"/>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3936417322834651"/>
          <c:y val="3.9817854990197882E-2"/>
          <c:w val="0.35125392353344942"/>
          <c:h val="0.4738620150086772"/>
        </c:manualLayout>
      </c:layout>
      <c:overlay val="0"/>
      <c:spPr>
        <a:noFill/>
        <a:ln>
          <a:noFill/>
        </a:ln>
        <a:effectLst/>
      </c:spPr>
      <c:txPr>
        <a:bodyPr rot="0" spcFirstLastPara="1" vertOverflow="ellipsis" vert="horz" wrap="square" anchor="ctr" anchorCtr="1"/>
        <a:lstStyle/>
        <a:p>
          <a:pPr>
            <a:defRPr lang="en-US" sz="105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2617780672152824"/>
          <c:y val="3.8815069991251089E-2"/>
          <c:w val="0.62959666883744791"/>
          <c:h val="0.76503762029746292"/>
        </c:manualLayout>
      </c:layout>
      <c:barChart>
        <c:barDir val="bar"/>
        <c:grouping val="clustered"/>
        <c:varyColors val="0"/>
        <c:ser>
          <c:idx val="0"/>
          <c:order val="0"/>
          <c:tx>
            <c:strRef>
              <c:f>'Racial Composition'!$AF$36</c:f>
              <c:strCache>
                <c:ptCount val="1"/>
                <c:pt idx="0">
                  <c:v>2020</c:v>
                </c:pt>
              </c:strCache>
            </c:strRef>
          </c:tx>
          <c:spPr>
            <a:solidFill>
              <a:schemeClr val="accent6"/>
            </a:solidFill>
            <a:ln>
              <a:noFill/>
            </a:ln>
            <a:effectLst/>
          </c:spPr>
          <c:invertIfNegative val="0"/>
          <c:dPt>
            <c:idx val="0"/>
            <c:invertIfNegative val="0"/>
            <c:bubble3D val="0"/>
            <c:spPr>
              <a:solidFill>
                <a:schemeClr val="accent3"/>
              </a:solidFill>
              <a:ln>
                <a:noFill/>
              </a:ln>
              <a:effectLst/>
            </c:spPr>
            <c:extLst>
              <c:ext xmlns:c16="http://schemas.microsoft.com/office/drawing/2014/chart" uri="{C3380CC4-5D6E-409C-BE32-E72D297353CC}">
                <c16:uniqueId val="{00000000-7FEF-4360-A6F8-CF7F758D9D48}"/>
              </c:ext>
            </c:extLst>
          </c:dPt>
          <c:dPt>
            <c:idx val="1"/>
            <c:invertIfNegative val="0"/>
            <c:bubble3D val="0"/>
            <c:spPr>
              <a:solidFill>
                <a:schemeClr val="accent5"/>
              </a:solidFill>
              <a:ln>
                <a:noFill/>
              </a:ln>
              <a:effectLst/>
            </c:spPr>
            <c:extLst>
              <c:ext xmlns:c16="http://schemas.microsoft.com/office/drawing/2014/chart" uri="{C3380CC4-5D6E-409C-BE32-E72D297353CC}">
                <c16:uniqueId val="{00000001-7FEF-4360-A6F8-CF7F758D9D48}"/>
              </c:ext>
            </c:extLst>
          </c:dPt>
          <c:dLbls>
            <c:dLbl>
              <c:idx val="0"/>
              <c:layout/>
              <c:tx>
                <c:rich>
                  <a:bodyPr/>
                  <a:lstStyle/>
                  <a:p>
                    <a:fld id="{88C3AA92-60A4-41F1-8B29-5179A42DDC3A}"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0-7FEF-4360-A6F8-CF7F758D9D48}"/>
                </c:ext>
              </c:extLst>
            </c:dLbl>
            <c:dLbl>
              <c:idx val="1"/>
              <c:layout/>
              <c:tx>
                <c:rich>
                  <a:bodyPr/>
                  <a:lstStyle/>
                  <a:p>
                    <a:fld id="{2617154B-644A-4A3D-9F37-279007E3B021}"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1-7FEF-4360-A6F8-CF7F758D9D48}"/>
                </c:ext>
              </c:extLst>
            </c:dLbl>
            <c:dLbl>
              <c:idx val="2"/>
              <c:layout/>
              <c:tx>
                <c:rich>
                  <a:bodyPr/>
                  <a:lstStyle/>
                  <a:p>
                    <a:fld id="{83B3C7C2-FECB-45A2-BEDA-585D7E4C7865}"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7FEF-4360-A6F8-CF7F758D9D48}"/>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tx2"/>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0"/>
              </c:ext>
            </c:extLst>
          </c:dLbls>
          <c:cat>
            <c:strRef>
              <c:f>'Racial Composition'!$AC$37:$AC$39</c:f>
              <c:strCache>
                <c:ptCount val="3"/>
                <c:pt idx="0">
                  <c:v>Hispanic or Latino (of any race)</c:v>
                </c:pt>
                <c:pt idx="1">
                  <c:v>Persons of Color</c:v>
                </c:pt>
                <c:pt idx="2">
                  <c:v>White</c:v>
                </c:pt>
              </c:strCache>
            </c:strRef>
          </c:cat>
          <c:val>
            <c:numRef>
              <c:f>'Racial Composition'!$AF$37:$AF$39</c:f>
              <c:numCache>
                <c:formatCode>#,##0</c:formatCode>
                <c:ptCount val="3"/>
                <c:pt idx="0">
                  <c:v>242</c:v>
                </c:pt>
                <c:pt idx="1">
                  <c:v>130</c:v>
                </c:pt>
                <c:pt idx="2">
                  <c:v>603</c:v>
                </c:pt>
              </c:numCache>
            </c:numRef>
          </c:val>
          <c:extLst>
            <c:ext xmlns:c15="http://schemas.microsoft.com/office/drawing/2012/chart" uri="{02D57815-91ED-43cb-92C2-25804820EDAC}">
              <c15:datalabelsRange>
                <c15:f>'Racial Composition'!$AI$37:$AI$39</c15:f>
                <c15:dlblRangeCache>
                  <c:ptCount val="3"/>
                  <c:pt idx="0">
                    <c:v>242
(25%)</c:v>
                  </c:pt>
                  <c:pt idx="1">
                    <c:v>130
(13%)</c:v>
                  </c:pt>
                  <c:pt idx="2">
                    <c:v>603
(62%)</c:v>
                  </c:pt>
                </c15:dlblRangeCache>
              </c15:datalabelsRange>
            </c:ext>
            <c:ext xmlns:c16="http://schemas.microsoft.com/office/drawing/2014/chart" uri="{C3380CC4-5D6E-409C-BE32-E72D297353CC}">
              <c16:uniqueId val="{00000008-8D26-435E-BF46-60EB4DA29158}"/>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7251984126984123"/>
              <c:y val="0.91624978127734025"/>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8927139805607826E-2"/>
          <c:y val="2.1290537288032742E-2"/>
          <c:w val="0.45738187808855285"/>
          <c:h val="0.8876879261998244"/>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Entiat</c:v>
                </c:pt>
                <c:pt idx="1">
                  <c:v>Chelan County</c:v>
                </c:pt>
              </c:strCache>
            </c:strRef>
          </c:cat>
          <c:val>
            <c:numRef>
              <c:f>('Racial Composition'!$AH$39,'Racial Composition'!$AN$39)</c:f>
              <c:numCache>
                <c:formatCode>0%</c:formatCode>
                <c:ptCount val="2"/>
                <c:pt idx="0">
                  <c:v>0.61846153846153851</c:v>
                </c:pt>
                <c:pt idx="1">
                  <c:v>0.67526385138220291</c:v>
                </c:pt>
              </c:numCache>
            </c:numRef>
          </c:val>
          <c:extLst>
            <c:ext xmlns:c16="http://schemas.microsoft.com/office/drawing/2014/chart" uri="{C3380CC4-5D6E-409C-BE32-E72D297353CC}">
              <c16:uniqueId val="{00000000-64AF-451D-9846-F1D172EDEEE8}"/>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Entiat</c:v>
                </c:pt>
                <c:pt idx="1">
                  <c:v>Chelan County</c:v>
                </c:pt>
              </c:strCache>
            </c:strRef>
          </c:cat>
          <c:val>
            <c:numRef>
              <c:f>('Racial Composition'!$AH$38,'Racial Composition'!$AN$38)</c:f>
              <c:numCache>
                <c:formatCode>0%</c:formatCode>
                <c:ptCount val="2"/>
                <c:pt idx="0">
                  <c:v>0.13333333333333333</c:v>
                </c:pt>
                <c:pt idx="1">
                  <c:v>4.3846946629616579E-2</c:v>
                </c:pt>
              </c:numCache>
            </c:numRef>
          </c:val>
          <c:extLst>
            <c:ext xmlns:c16="http://schemas.microsoft.com/office/drawing/2014/chart" uri="{C3380CC4-5D6E-409C-BE32-E72D297353CC}">
              <c16:uniqueId val="{00000001-64AF-451D-9846-F1D172EDEEE8}"/>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Entiat</c:v>
                </c:pt>
                <c:pt idx="1">
                  <c:v>Chelan County</c:v>
                </c:pt>
              </c:strCache>
            </c:strRef>
          </c:cat>
          <c:val>
            <c:numRef>
              <c:f>('Racial Composition'!$AH$37,'Racial Composition'!$AN$37)</c:f>
              <c:numCache>
                <c:formatCode>0%</c:formatCode>
                <c:ptCount val="2"/>
                <c:pt idx="0">
                  <c:v>0.24820512820512822</c:v>
                </c:pt>
                <c:pt idx="1">
                  <c:v>0.28088920198818051</c:v>
                </c:pt>
              </c:numCache>
            </c:numRef>
          </c:val>
          <c:extLst>
            <c:ext xmlns:c16="http://schemas.microsoft.com/office/drawing/2014/chart" uri="{C3380CC4-5D6E-409C-BE32-E72D297353CC}">
              <c16:uniqueId val="{00000004-64AF-451D-9846-F1D172EDEEE8}"/>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0606837042408725"/>
          <c:y val="0.11415462490465775"/>
          <c:w val="0.41599357515660401"/>
          <c:h val="0.4082760435252866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255736782902136"/>
          <c:h val="0.71267935258092741"/>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Burden'!$AE$12:$AH$12,'Cost Burden'!$AJ$12)</c:f>
              <c:numCache>
                <c:formatCode>#,##0</c:formatCode>
                <c:ptCount val="5"/>
                <c:pt idx="0">
                  <c:v>0</c:v>
                </c:pt>
                <c:pt idx="1">
                  <c:v>0</c:v>
                </c:pt>
                <c:pt idx="2">
                  <c:v>4</c:v>
                </c:pt>
                <c:pt idx="3">
                  <c:v>0</c:v>
                </c:pt>
                <c:pt idx="4">
                  <c:v>35</c:v>
                </c:pt>
              </c:numCache>
            </c:numRef>
          </c:val>
          <c:extLst>
            <c:ext xmlns:c16="http://schemas.microsoft.com/office/drawing/2014/chart" uri="{C3380CC4-5D6E-409C-BE32-E72D297353CC}">
              <c16:uniqueId val="{00000005-D85A-406B-A8B9-66F0156D391E}"/>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Burden'!$AE$11:$AH$11,'Cost Burden'!$AJ$11)</c:f>
              <c:numCache>
                <c:formatCode>#,##0</c:formatCode>
                <c:ptCount val="5"/>
                <c:pt idx="0">
                  <c:v>0</c:v>
                </c:pt>
                <c:pt idx="1">
                  <c:v>0</c:v>
                </c:pt>
                <c:pt idx="2">
                  <c:v>10</c:v>
                </c:pt>
                <c:pt idx="3">
                  <c:v>4</c:v>
                </c:pt>
                <c:pt idx="4">
                  <c:v>35</c:v>
                </c:pt>
              </c:numCache>
            </c:numRef>
          </c:val>
          <c:extLst>
            <c:ext xmlns:c16="http://schemas.microsoft.com/office/drawing/2014/chart" uri="{C3380CC4-5D6E-409C-BE32-E72D297353CC}">
              <c16:uniqueId val="{00000003-D85A-406B-A8B9-66F0156D391E}"/>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Burden'!$AE$10:$AH$10,'Cost Burden'!$AJ$10)</c:f>
              <c:numCache>
                <c:formatCode>#,##0</c:formatCode>
                <c:ptCount val="5"/>
                <c:pt idx="0">
                  <c:v>0</c:v>
                </c:pt>
                <c:pt idx="1">
                  <c:v>0</c:v>
                </c:pt>
                <c:pt idx="2">
                  <c:v>80</c:v>
                </c:pt>
                <c:pt idx="3">
                  <c:v>15</c:v>
                </c:pt>
                <c:pt idx="4">
                  <c:v>210</c:v>
                </c:pt>
              </c:numCache>
            </c:numRef>
          </c:val>
          <c:extLst>
            <c:ext xmlns:c16="http://schemas.microsoft.com/office/drawing/2014/chart" uri="{C3380CC4-5D6E-409C-BE32-E72D297353CC}">
              <c16:uniqueId val="{00000001-D85A-406B-A8B9-66F0156D391E}"/>
            </c:ext>
          </c:extLst>
        </c:ser>
        <c:ser>
          <c:idx val="3"/>
          <c:order val="3"/>
          <c:tx>
            <c:strRef>
              <c:f>'Cost Burden'!$AD$13</c:f>
              <c:strCache>
                <c:ptCount val="1"/>
                <c:pt idx="0">
                  <c:v>Not Calculated</c:v>
                </c:pt>
              </c:strCache>
            </c:strRef>
          </c:tx>
          <c:spPr>
            <a:solidFill>
              <a:srgbClr val="D9D9D9"/>
            </a:solidFill>
          </c:spPr>
          <c:invertIfNegative val="0"/>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Burden'!$AE$13:$AH$13,'Cost Burden'!$AJ$13)</c:f>
              <c:numCache>
                <c:formatCode>#,##0</c:formatCode>
                <c:ptCount val="5"/>
                <c:pt idx="0">
                  <c:v>0</c:v>
                </c:pt>
                <c:pt idx="1">
                  <c:v>0</c:v>
                </c:pt>
                <c:pt idx="2">
                  <c:v>4</c:v>
                </c:pt>
                <c:pt idx="3">
                  <c:v>0</c:v>
                </c:pt>
                <c:pt idx="4">
                  <c:v>8</c:v>
                </c:pt>
              </c:numCache>
            </c:numRef>
          </c:val>
          <c:extLst>
            <c:ext xmlns:c16="http://schemas.microsoft.com/office/drawing/2014/chart" uri="{C3380CC4-5D6E-409C-BE32-E72D297353CC}">
              <c16:uniqueId val="{00000007-D85A-406B-A8B9-66F0156D391E}"/>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solidFill>
                      <a:srgbClr val="595959"/>
                    </a:solidFill>
                  </a:defRPr>
                </a:pPr>
                <a:r>
                  <a:rPr lang="en-US">
                    <a:solidFill>
                      <a:srgbClr val="595959"/>
                    </a:solidFill>
                  </a:rPr>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6185101862267218"/>
          <c:y val="5.6404472878390198E-2"/>
          <c:w val="0.61565304336957893"/>
          <c:h val="0.73072803399575048"/>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Burden'!$AE$35:$AJ$35</c15:sqref>
                  </c15:fullRef>
                </c:ext>
              </c:extLst>
              <c:f>('Cost Burden'!$AE$35:$AH$35,'Cost Burden'!$AJ$35)</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5-0BBF-444A-B875-11A87B7CF92F}"/>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Burden'!$AE$34:$AJ$34</c15:sqref>
                  </c15:fullRef>
                </c:ext>
              </c:extLst>
              <c:f>('Cost Burden'!$AE$34:$AH$34,'Cost Burden'!$AJ$34)</c:f>
              <c:numCache>
                <c:formatCode>#,##0</c:formatCode>
                <c:ptCount val="5"/>
                <c:pt idx="0">
                  <c:v>0</c:v>
                </c:pt>
                <c:pt idx="1">
                  <c:v>0</c:v>
                </c:pt>
                <c:pt idx="2">
                  <c:v>0</c:v>
                </c:pt>
                <c:pt idx="3">
                  <c:v>0</c:v>
                </c:pt>
                <c:pt idx="4">
                  <c:v>15</c:v>
                </c:pt>
              </c:numCache>
            </c:numRef>
          </c:val>
          <c:extLst>
            <c:ext xmlns:c16="http://schemas.microsoft.com/office/drawing/2014/chart" uri="{C3380CC4-5D6E-409C-BE32-E72D297353CC}">
              <c16:uniqueId val="{00000003-0BBF-444A-B875-11A87B7CF92F}"/>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Burden'!$AE$33:$AJ$33</c15:sqref>
                  </c15:fullRef>
                </c:ext>
              </c:extLst>
              <c:f>('Cost Burden'!$AE$33:$AH$33,'Cost Burden'!$AJ$33)</c:f>
              <c:numCache>
                <c:formatCode>#,##0</c:formatCode>
                <c:ptCount val="5"/>
                <c:pt idx="0">
                  <c:v>0</c:v>
                </c:pt>
                <c:pt idx="1">
                  <c:v>0</c:v>
                </c:pt>
                <c:pt idx="2">
                  <c:v>65</c:v>
                </c:pt>
                <c:pt idx="3">
                  <c:v>0</c:v>
                </c:pt>
                <c:pt idx="4">
                  <c:v>45</c:v>
                </c:pt>
              </c:numCache>
            </c:numRef>
          </c:val>
          <c:extLst>
            <c:ext xmlns:c16="http://schemas.microsoft.com/office/drawing/2014/chart" uri="{C3380CC4-5D6E-409C-BE32-E72D297353CC}">
              <c16:uniqueId val="{00000001-0BBF-444A-B875-11A87B7CF92F}"/>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Burden'!$AE$36:$AJ$36</c15:sqref>
                  </c15:fullRef>
                </c:ext>
              </c:extLst>
              <c:f>('Cost Burden'!$AE$36:$AH$36,'Cost Burden'!$AJ$36)</c:f>
              <c:numCache>
                <c:formatCode>#,##0</c:formatCode>
                <c:ptCount val="5"/>
                <c:pt idx="0">
                  <c:v>0</c:v>
                </c:pt>
                <c:pt idx="1">
                  <c:v>0</c:v>
                </c:pt>
                <c:pt idx="2">
                  <c:v>0</c:v>
                </c:pt>
                <c:pt idx="3">
                  <c:v>0</c:v>
                </c:pt>
                <c:pt idx="4">
                  <c:v>4</c:v>
                </c:pt>
              </c:numCache>
            </c:numRef>
          </c:val>
          <c:extLst>
            <c:ext xmlns:c16="http://schemas.microsoft.com/office/drawing/2014/chart" uri="{C3380CC4-5D6E-409C-BE32-E72D297353CC}">
              <c16:uniqueId val="{00000007-0BBF-444A-B875-11A87B7CF92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28653012123484567"/>
          <c:y val="3.529883228329625E-2"/>
          <c:w val="0.71346987876515433"/>
          <c:h val="0.76882353600658693"/>
        </c:manualLayout>
      </c:layout>
      <c:barChart>
        <c:barDir val="bar"/>
        <c:grouping val="percentStacked"/>
        <c:varyColors val="0"/>
        <c:ser>
          <c:idx val="1"/>
          <c:order val="0"/>
          <c:tx>
            <c:strRef>
              <c:f>'Cost Burden'!$AD$52</c:f>
              <c:strCache>
                <c:ptCount val="1"/>
                <c:pt idx="0">
                  <c:v>Severely Cost-Burdened (&gt;50%)</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0</c:v>
                </c:pt>
                <c:pt idx="1">
                  <c:v>0</c:v>
                </c:pt>
                <c:pt idx="2">
                  <c:v>4.0816326530612242E-2</c:v>
                </c:pt>
                <c:pt idx="3">
                  <c:v>0</c:v>
                </c:pt>
                <c:pt idx="4">
                  <c:v>3.4188034188034191E-2</c:v>
                </c:pt>
                <c:pt idx="5">
                  <c:v>0.12152777777777778</c:v>
                </c:pt>
              </c:numCache>
            </c:numRef>
          </c:val>
          <c:extLst>
            <c:ext xmlns:c16="http://schemas.microsoft.com/office/drawing/2014/chart" uri="{C3380CC4-5D6E-409C-BE32-E72D297353CC}">
              <c16:uniqueId val="{00000009-D025-45D9-B346-67FF36586312}"/>
            </c:ext>
          </c:extLst>
        </c:ser>
        <c:ser>
          <c:idx val="3"/>
          <c:order val="1"/>
          <c:tx>
            <c:strRef>
              <c:f>'Cost Burden'!$AD$51</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c:v>
                </c:pt>
                <c:pt idx="1">
                  <c:v>0</c:v>
                </c:pt>
                <c:pt idx="2">
                  <c:v>0.10204081632653061</c:v>
                </c:pt>
                <c:pt idx="3">
                  <c:v>0.21052631578947367</c:v>
                </c:pt>
                <c:pt idx="4">
                  <c:v>0.11965811965811966</c:v>
                </c:pt>
                <c:pt idx="5">
                  <c:v>0.12152777777777778</c:v>
                </c:pt>
              </c:numCache>
            </c:numRef>
          </c:val>
          <c:extLst>
            <c:ext xmlns:c16="http://schemas.microsoft.com/office/drawing/2014/chart" uri="{C3380CC4-5D6E-409C-BE32-E72D297353CC}">
              <c16:uniqueId val="{00000008-D025-45D9-B346-67FF36586312}"/>
            </c:ext>
          </c:extLst>
        </c:ser>
        <c:ser>
          <c:idx val="0"/>
          <c:order val="2"/>
          <c:tx>
            <c:strRef>
              <c:f>'Cost Burden'!$AD$50</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0</c:v>
                </c:pt>
                <c:pt idx="1">
                  <c:v>0</c:v>
                </c:pt>
                <c:pt idx="2">
                  <c:v>0.81632653061224492</c:v>
                </c:pt>
                <c:pt idx="3">
                  <c:v>0.78947368421052633</c:v>
                </c:pt>
                <c:pt idx="4">
                  <c:v>0.81196581196581197</c:v>
                </c:pt>
                <c:pt idx="5">
                  <c:v>0.72916666666666663</c:v>
                </c:pt>
              </c:numCache>
            </c:numRef>
          </c:val>
          <c:extLst>
            <c:ext xmlns:c16="http://schemas.microsoft.com/office/drawing/2014/chart" uri="{C3380CC4-5D6E-409C-BE32-E72D297353CC}">
              <c16:uniqueId val="{00000007-D025-45D9-B346-67FF36586312}"/>
            </c:ext>
          </c:extLst>
        </c:ser>
        <c:ser>
          <c:idx val="5"/>
          <c:order val="3"/>
          <c:tx>
            <c:strRef>
              <c:f>'Cost Burden'!$AD$49</c:f>
              <c:strCache>
                <c:ptCount val="1"/>
                <c:pt idx="0">
                  <c:v>Not Calculated</c:v>
                </c:pt>
              </c:strCache>
            </c:strRef>
          </c:tx>
          <c:spPr>
            <a:solidFill>
              <a:schemeClr val="bg2"/>
            </a:solidFill>
            <a:ln>
              <a:noFill/>
            </a:ln>
            <a:effectLst/>
          </c:spPr>
          <c:invertIfNegative val="0"/>
          <c:dLbls>
            <c:dLbl>
              <c:idx val="3"/>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37F-4AF8-A1D0-34BEAFC8A2F0}"/>
                </c:ext>
              </c:extLst>
            </c:dLbl>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0</c:v>
                </c:pt>
                <c:pt idx="1">
                  <c:v>0</c:v>
                </c:pt>
                <c:pt idx="2">
                  <c:v>4.0816326530612242E-2</c:v>
                </c:pt>
                <c:pt idx="3">
                  <c:v>0</c:v>
                </c:pt>
                <c:pt idx="4">
                  <c:v>3.4188034188034191E-2</c:v>
                </c:pt>
                <c:pt idx="5">
                  <c:v>2.7777777777777776E-2</c:v>
                </c:pt>
              </c:numCache>
            </c:numRef>
          </c:val>
          <c:extLst xmlns:c15="http://schemas.microsoft.com/office/drawing/2012/chart">
            <c:ext xmlns:c16="http://schemas.microsoft.com/office/drawing/2014/chart" uri="{C3380CC4-5D6E-409C-BE32-E72D297353CC}">
              <c16:uniqueId val="{00000006-D025-45D9-B346-67FF3658631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77714703630796156"/>
        </c:manualLayout>
      </c:layout>
      <c:barChart>
        <c:barDir val="bar"/>
        <c:grouping val="percentStacked"/>
        <c:varyColors val="0"/>
        <c:ser>
          <c:idx val="5"/>
          <c:order val="0"/>
          <c:tx>
            <c:strRef>
              <c:f>'Cost Burden'!$AD$70</c:f>
              <c:strCache>
                <c:ptCount val="1"/>
                <c:pt idx="0">
                  <c:v>Severely Cost-Burdened (&gt;50%)</c:v>
                </c:pt>
              </c:strCache>
            </c:strRef>
          </c:tx>
          <c:spPr>
            <a:solidFill>
              <a:schemeClr val="accent6"/>
            </a:solidFill>
            <a:ln>
              <a:noFill/>
            </a:ln>
            <a:effectLst/>
          </c:spPr>
          <c:invertIfNegative val="0"/>
          <c:dLbls>
            <c:dLbl>
              <c:idx val="5"/>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11A-4EB1-BE76-377FBF69BCCC}"/>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Burden'!$AE$70:$AK$70</c15:sqref>
                  </c15:fullRef>
                </c:ext>
              </c:extLst>
              <c:f>('Cost Burden'!$AE$70:$AH$70,'Cost Burden'!$AJ$70:$AK$70)</c:f>
              <c:numCache>
                <c:formatCode>0%</c:formatCode>
                <c:ptCount val="6"/>
                <c:pt idx="0">
                  <c:v>0</c:v>
                </c:pt>
                <c:pt idx="1">
                  <c:v>0</c:v>
                </c:pt>
                <c:pt idx="2">
                  <c:v>0</c:v>
                </c:pt>
                <c:pt idx="3">
                  <c:v>0</c:v>
                </c:pt>
                <c:pt idx="4">
                  <c:v>0</c:v>
                </c:pt>
                <c:pt idx="5">
                  <c:v>0</c:v>
                </c:pt>
              </c:numCache>
            </c:numRef>
          </c:val>
          <c:extLst xmlns:c15="http://schemas.microsoft.com/office/drawing/2012/chart">
            <c:ext xmlns:c16="http://schemas.microsoft.com/office/drawing/2014/chart" uri="{C3380CC4-5D6E-409C-BE32-E72D297353CC}">
              <c16:uniqueId val="{00000025-77DD-4854-BCE8-B54938A55DA1}"/>
            </c:ext>
          </c:extLst>
        </c:ser>
        <c:ser>
          <c:idx val="0"/>
          <c:order val="1"/>
          <c:tx>
            <c:strRef>
              <c:f>'Cost Burden'!$AD$69</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Burden'!$AE$69:$AK$69</c15:sqref>
                  </c15:fullRef>
                </c:ext>
              </c:extLst>
              <c:f>('Cost Burden'!$AE$69:$AH$69,'Cost Burden'!$AJ$69:$AK$69)</c:f>
              <c:numCache>
                <c:formatCode>0%</c:formatCode>
                <c:ptCount val="6"/>
                <c:pt idx="0">
                  <c:v>0</c:v>
                </c:pt>
                <c:pt idx="1">
                  <c:v>0</c:v>
                </c:pt>
                <c:pt idx="2">
                  <c:v>0</c:v>
                </c:pt>
                <c:pt idx="3">
                  <c:v>0</c:v>
                </c:pt>
                <c:pt idx="4">
                  <c:v>0</c:v>
                </c:pt>
                <c:pt idx="5">
                  <c:v>0.25</c:v>
                </c:pt>
              </c:numCache>
            </c:numRef>
          </c:val>
          <c:extLst>
            <c:ext xmlns:c16="http://schemas.microsoft.com/office/drawing/2014/chart" uri="{C3380CC4-5D6E-409C-BE32-E72D297353CC}">
              <c16:uniqueId val="{00000022-77DD-4854-BCE8-B54938A55DA1}"/>
            </c:ext>
          </c:extLst>
        </c:ser>
        <c:ser>
          <c:idx val="3"/>
          <c:order val="2"/>
          <c:tx>
            <c:strRef>
              <c:f>'Cost Burden'!$AD$68</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Burden'!$AE$68:$AK$68</c15:sqref>
                  </c15:fullRef>
                </c:ext>
              </c:extLst>
              <c:f>('Cost Burden'!$AE$68:$AH$68,'Cost Burden'!$AJ$68:$AK$68)</c:f>
              <c:numCache>
                <c:formatCode>0%</c:formatCode>
                <c:ptCount val="6"/>
                <c:pt idx="0">
                  <c:v>0</c:v>
                </c:pt>
                <c:pt idx="1">
                  <c:v>0</c:v>
                </c:pt>
                <c:pt idx="2">
                  <c:v>1</c:v>
                </c:pt>
                <c:pt idx="3">
                  <c:v>0</c:v>
                </c:pt>
                <c:pt idx="4">
                  <c:v>1</c:v>
                </c:pt>
                <c:pt idx="5">
                  <c:v>0.75</c:v>
                </c:pt>
              </c:numCache>
            </c:numRef>
          </c:val>
          <c:extLst>
            <c:ext xmlns:c16="http://schemas.microsoft.com/office/drawing/2014/chart" uri="{C3380CC4-5D6E-409C-BE32-E72D297353CC}">
              <c16:uniqueId val="{00000020-77DD-4854-BCE8-B54938A55DA1}"/>
            </c:ext>
          </c:extLst>
        </c:ser>
        <c:ser>
          <c:idx val="1"/>
          <c:order val="3"/>
          <c:tx>
            <c:strRef>
              <c:f>'Cost Burden'!$AD$67</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Burden'!$AE$67:$AK$67</c15:sqref>
                  </c15:fullRef>
                </c:ext>
              </c:extLst>
              <c:f>('Cost Burden'!$AE$67:$AH$67,'Cost Burden'!$AJ$67:$AK$67)</c:f>
              <c:numCache>
                <c:formatCode>0%</c:formatCode>
                <c:ptCount val="6"/>
                <c:pt idx="0">
                  <c:v>0</c:v>
                </c:pt>
                <c:pt idx="1">
                  <c:v>0</c:v>
                </c:pt>
                <c:pt idx="2">
                  <c:v>0</c:v>
                </c:pt>
                <c:pt idx="3">
                  <c:v>0</c:v>
                </c:pt>
                <c:pt idx="4">
                  <c:v>0</c:v>
                </c:pt>
                <c:pt idx="5">
                  <c:v>6.6666666666666666E-2</c:v>
                </c:pt>
              </c:numCache>
            </c:numRef>
          </c:val>
          <c:extLst>
            <c:ext xmlns:c16="http://schemas.microsoft.com/office/drawing/2014/chart" uri="{C3380CC4-5D6E-409C-BE32-E72D297353CC}">
              <c16:uniqueId val="{0000001E-77DD-4854-BCE8-B54938A55DA1}"/>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emf"/></Relationships>
</file>

<file path=xl/drawings/_rels/drawing11.xml.rels><?xml version="1.0" encoding="UTF-8" standalone="yes"?>
<Relationships xmlns="http://schemas.openxmlformats.org/package/2006/relationships"><Relationship Id="rId1" Type="http://schemas.openxmlformats.org/officeDocument/2006/relationships/image" Target="../media/image3.emf"/></Relationships>
</file>

<file path=xl/drawings/_rels/drawing12.xml.rels><?xml version="1.0" encoding="UTF-8" standalone="yes"?>
<Relationships xmlns="http://schemas.openxmlformats.org/package/2006/relationships"><Relationship Id="rId1" Type="http://schemas.openxmlformats.org/officeDocument/2006/relationships/image" Target="../media/image3.emf"/></Relationships>
</file>

<file path=xl/drawings/_rels/drawing13.xml.rels><?xml version="1.0" encoding="UTF-8" standalone="yes"?>
<Relationships xmlns="http://schemas.openxmlformats.org/package/2006/relationships"><Relationship Id="rId1" Type="http://schemas.openxmlformats.org/officeDocument/2006/relationships/image" Target="../media/image3.emf"/></Relationships>
</file>

<file path=xl/drawings/_rels/drawing14.xml.rels><?xml version="1.0" encoding="UTF-8" standalone="yes"?>
<Relationships xmlns="http://schemas.openxmlformats.org/package/2006/relationships"><Relationship Id="rId1" Type="http://schemas.openxmlformats.org/officeDocument/2006/relationships/image" Target="../media/image4.emf"/></Relationships>
</file>

<file path=xl/drawings/_rels/drawing15.xml.rels><?xml version="1.0" encoding="UTF-8" standalone="yes"?>
<Relationships xmlns="http://schemas.openxmlformats.org/package/2006/relationships"><Relationship Id="rId1" Type="http://schemas.openxmlformats.org/officeDocument/2006/relationships/image" Target="../media/image4.emf"/></Relationships>
</file>

<file path=xl/drawings/_rels/drawing16.xml.rels><?xml version="1.0" encoding="UTF-8" standalone="yes"?>
<Relationships xmlns="http://schemas.openxmlformats.org/package/2006/relationships"><Relationship Id="rId1" Type="http://schemas.openxmlformats.org/officeDocument/2006/relationships/image" Target="../media/image4.emf"/></Relationships>
</file>

<file path=xl/drawings/_rels/drawing17.xml.rels><?xml version="1.0" encoding="UTF-8" standalone="yes"?>
<Relationships xmlns="http://schemas.openxmlformats.org/package/2006/relationships"><Relationship Id="rId1" Type="http://schemas.openxmlformats.org/officeDocument/2006/relationships/image" Target="../media/image4.emf"/></Relationships>
</file>

<file path=xl/drawings/_rels/drawing18.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chart" Target="../charts/chart20.xml"/><Relationship Id="rId7" Type="http://schemas.openxmlformats.org/officeDocument/2006/relationships/image" Target="../media/image13.svg"/><Relationship Id="rId2" Type="http://schemas.openxmlformats.org/officeDocument/2006/relationships/chart" Target="../charts/chart19.xml"/><Relationship Id="rId1" Type="http://schemas.openxmlformats.org/officeDocument/2006/relationships/chart" Target="../charts/chart18.xml"/><Relationship Id="rId6" Type="http://schemas.openxmlformats.org/officeDocument/2006/relationships/image" Target="../media/image11.png"/><Relationship Id="rId11" Type="http://schemas.openxmlformats.org/officeDocument/2006/relationships/image" Target="../media/image6.emf"/><Relationship Id="rId5" Type="http://schemas.openxmlformats.org/officeDocument/2006/relationships/image" Target="../media/image11.svg"/><Relationship Id="rId10" Type="http://schemas.openxmlformats.org/officeDocument/2006/relationships/image" Target="../media/image7.emf"/><Relationship Id="rId4" Type="http://schemas.openxmlformats.org/officeDocument/2006/relationships/image" Target="../media/image10.png"/><Relationship Id="rId9" Type="http://schemas.openxmlformats.org/officeDocument/2006/relationships/image" Target="../media/image9.emf"/></Relationships>
</file>

<file path=xl/drawings/_rels/drawing19.xml.rels><?xml version="1.0" encoding="UTF-8" standalone="yes"?>
<Relationships xmlns="http://schemas.openxmlformats.org/package/2006/relationships"><Relationship Id="rId1" Type="http://schemas.openxmlformats.org/officeDocument/2006/relationships/image" Target="../media/image6.emf"/></Relationships>
</file>

<file path=xl/drawings/_rels/drawing20.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7.emf"/></Relationships>
</file>

<file path=xl/drawings/_rels/drawing21.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png"/></Relationships>
</file>

<file path=xl/drawings/_rels/drawing22.xml.rels><?xml version="1.0" encoding="UTF-8" standalone="yes"?>
<Relationships xmlns="http://schemas.openxmlformats.org/package/2006/relationships"><Relationship Id="rId3" Type="http://schemas.openxmlformats.org/officeDocument/2006/relationships/chart" Target="../charts/chart23.xml"/><Relationship Id="rId2" Type="http://schemas.openxmlformats.org/officeDocument/2006/relationships/chart" Target="../charts/chart22.xml"/><Relationship Id="rId1" Type="http://schemas.openxmlformats.org/officeDocument/2006/relationships/chart" Target="../charts/chart21.xml"/><Relationship Id="rId6" Type="http://schemas.openxmlformats.org/officeDocument/2006/relationships/image" Target="../media/image13.emf"/><Relationship Id="rId5" Type="http://schemas.openxmlformats.org/officeDocument/2006/relationships/chart" Target="../charts/chart25.xml"/><Relationship Id="rId4" Type="http://schemas.openxmlformats.org/officeDocument/2006/relationships/chart" Target="../charts/chart24.xml"/></Relationships>
</file>

<file path=xl/drawings/_rels/drawing23.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4.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5.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6.xml.rels><?xml version="1.0" encoding="UTF-8" standalone="yes"?>
<Relationships xmlns="http://schemas.openxmlformats.org/package/2006/relationships"><Relationship Id="rId3" Type="http://schemas.openxmlformats.org/officeDocument/2006/relationships/chart" Target="../charts/chart28.xml"/><Relationship Id="rId2" Type="http://schemas.openxmlformats.org/officeDocument/2006/relationships/chart" Target="../charts/chart27.xml"/><Relationship Id="rId1" Type="http://schemas.openxmlformats.org/officeDocument/2006/relationships/chart" Target="../charts/chart26.xml"/><Relationship Id="rId4" Type="http://schemas.openxmlformats.org/officeDocument/2006/relationships/chart" Target="../charts/chart29.xml"/></Relationships>
</file>

<file path=xl/drawings/_rels/drawing3.xml.rels><?xml version="1.0" encoding="UTF-8" standalone="yes"?>
<Relationships xmlns="http://schemas.openxmlformats.org/package/2006/relationships"><Relationship Id="rId1" Type="http://schemas.openxmlformats.org/officeDocument/2006/relationships/hyperlink" Target="https://ofm.wa.gov/sites/default/files/public/legacy/pop/acs/ofm_acs_user_guide.pdf" TargetMode="External"/></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drawing5.xml.rels><?xml version="1.0" encoding="UTF-8" standalone="yes"?>
<Relationships xmlns="http://schemas.openxmlformats.org/package/2006/relationships"><Relationship Id="rId8" Type="http://schemas.openxmlformats.org/officeDocument/2006/relationships/chart" Target="../charts/chart13.xml"/><Relationship Id="rId13" Type="http://schemas.openxmlformats.org/officeDocument/2006/relationships/image" Target="../media/image4.emf"/><Relationship Id="rId3" Type="http://schemas.openxmlformats.org/officeDocument/2006/relationships/chart" Target="../charts/chart8.xml"/><Relationship Id="rId7" Type="http://schemas.openxmlformats.org/officeDocument/2006/relationships/chart" Target="../charts/chart12.xml"/><Relationship Id="rId12" Type="http://schemas.openxmlformats.org/officeDocument/2006/relationships/chart" Target="../charts/chart17.xml"/><Relationship Id="rId2" Type="http://schemas.openxmlformats.org/officeDocument/2006/relationships/chart" Target="../charts/chart7.xml"/><Relationship Id="rId1" Type="http://schemas.openxmlformats.org/officeDocument/2006/relationships/chart" Target="../charts/chart6.xml"/><Relationship Id="rId6" Type="http://schemas.openxmlformats.org/officeDocument/2006/relationships/chart" Target="../charts/chart11.xml"/><Relationship Id="rId11" Type="http://schemas.openxmlformats.org/officeDocument/2006/relationships/chart" Target="../charts/chart16.xml"/><Relationship Id="rId5" Type="http://schemas.openxmlformats.org/officeDocument/2006/relationships/chart" Target="../charts/chart10.xml"/><Relationship Id="rId10" Type="http://schemas.openxmlformats.org/officeDocument/2006/relationships/chart" Target="../charts/chart15.xml"/><Relationship Id="rId4" Type="http://schemas.openxmlformats.org/officeDocument/2006/relationships/chart" Target="../charts/chart9.xml"/><Relationship Id="rId9" Type="http://schemas.openxmlformats.org/officeDocument/2006/relationships/chart" Target="../charts/chart14.xml"/><Relationship Id="rId14"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3.emf"/></Relationships>
</file>

<file path=xl/drawings/_rels/drawing7.xml.rels><?xml version="1.0" encoding="UTF-8" standalone="yes"?>
<Relationships xmlns="http://schemas.openxmlformats.org/package/2006/relationships"><Relationship Id="rId1" Type="http://schemas.openxmlformats.org/officeDocument/2006/relationships/image" Target="../media/image3.emf"/></Relationships>
</file>

<file path=xl/drawings/_rels/drawing8.xml.rels><?xml version="1.0" encoding="UTF-8" standalone="yes"?>
<Relationships xmlns="http://schemas.openxmlformats.org/package/2006/relationships"><Relationship Id="rId1" Type="http://schemas.openxmlformats.org/officeDocument/2006/relationships/image" Target="../media/image4.emf"/></Relationships>
</file>

<file path=xl/drawings/_rels/drawing9.x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0</xdr:col>
      <xdr:colOff>168872</xdr:colOff>
      <xdr:row>2</xdr:row>
      <xdr:rowOff>12326</xdr:rowOff>
    </xdr:from>
    <xdr:to>
      <xdr:col>10</xdr:col>
      <xdr:colOff>21626</xdr:colOff>
      <xdr:row>10</xdr:row>
      <xdr:rowOff>42918</xdr:rowOff>
    </xdr:to>
    <xdr:sp macro="" textlink="">
      <xdr:nvSpPr>
        <xdr:cNvPr id="3" name="TextBox 2">
          <a:extLst>
            <a:ext uri="{FF2B5EF4-FFF2-40B4-BE49-F238E27FC236}">
              <a16:creationId xmlns:a16="http://schemas.microsoft.com/office/drawing/2014/main" id="{40EBEFD7-CF74-4584-96FC-5B2E04F76AFA}"/>
            </a:ext>
          </a:extLst>
        </xdr:cNvPr>
        <xdr:cNvSpPr txBox="1"/>
      </xdr:nvSpPr>
      <xdr:spPr>
        <a:xfrm>
          <a:off x="168872" y="404532"/>
          <a:ext cx="6340960" cy="13752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is designed for use by the Department of Commerce (Commerce) in its support of local jurisdiction efforts to meet the requirements of the Growth Management Act (GMA). The toolkit compiles statistics relevant to a jurisdiction's analysis of racially disparate impacts in its community. By streamlining the compiling of data, the Commerce can shift its available resources towards supporting analysis and policy development to address and undo observed racially disparate impacts, displacement, and exclusion in housing. </a:t>
          </a:r>
          <a:endParaRPr lang="en-US">
            <a:effectLst/>
          </a:endParaRPr>
        </a:p>
      </xdr:txBody>
    </xdr:sp>
    <xdr:clientData/>
  </xdr:twoCellAnchor>
  <xdr:twoCellAnchor>
    <xdr:from>
      <xdr:col>0</xdr:col>
      <xdr:colOff>171450</xdr:colOff>
      <xdr:row>11</xdr:row>
      <xdr:rowOff>19050</xdr:rowOff>
    </xdr:from>
    <xdr:to>
      <xdr:col>10</xdr:col>
      <xdr:colOff>0</xdr:colOff>
      <xdr:row>13</xdr:row>
      <xdr:rowOff>28575</xdr:rowOff>
    </xdr:to>
    <xdr:sp macro="" textlink="">
      <xdr:nvSpPr>
        <xdr:cNvPr id="4" name="TextBox 3">
          <a:extLst>
            <a:ext uri="{FF2B5EF4-FFF2-40B4-BE49-F238E27FC236}">
              <a16:creationId xmlns:a16="http://schemas.microsoft.com/office/drawing/2014/main" id="{81866918-DD54-4945-A82D-C74D2DC22B74}"/>
            </a:ext>
          </a:extLst>
        </xdr:cNvPr>
        <xdr:cNvSpPr txBox="1"/>
      </xdr:nvSpPr>
      <xdr:spPr>
        <a:xfrm>
          <a:off x="171450" y="2105025"/>
          <a:ext cx="6353175" cy="371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toolkit is organized into three sections,</a:t>
          </a:r>
          <a:r>
            <a:rPr lang="en-US" sz="1100" baseline="0"/>
            <a:t> color coded by worksheet:</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57150</xdr:colOff>
      <xdr:row>13</xdr:row>
      <xdr:rowOff>133350</xdr:rowOff>
    </xdr:from>
    <xdr:to>
      <xdr:col>8</xdr:col>
      <xdr:colOff>114300</xdr:colOff>
      <xdr:row>16</xdr:row>
      <xdr:rowOff>123825</xdr:rowOff>
    </xdr:to>
    <xdr:sp macro="" textlink="">
      <xdr:nvSpPr>
        <xdr:cNvPr id="5" name="TextBox 4">
          <a:extLst>
            <a:ext uri="{FF2B5EF4-FFF2-40B4-BE49-F238E27FC236}">
              <a16:creationId xmlns:a16="http://schemas.microsoft.com/office/drawing/2014/main" id="{7DDCE576-F945-4C57-8B83-FDE2D81E92A1}"/>
            </a:ext>
          </a:extLst>
        </xdr:cNvPr>
        <xdr:cNvSpPr txBox="1"/>
      </xdr:nvSpPr>
      <xdr:spPr>
        <a:xfrm>
          <a:off x="1428750" y="2943225"/>
          <a:ext cx="4171950" cy="533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6"/>
              </a:solidFill>
            </a:rPr>
            <a:t>blue</a:t>
          </a:r>
          <a:r>
            <a:rPr lang="en-US" sz="1100"/>
            <a:t> worksheets provide</a:t>
          </a:r>
          <a:r>
            <a:rPr lang="en-US" sz="1100" baseline="0"/>
            <a:t> background information and instructions for users at the Commerce.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95250</xdr:colOff>
      <xdr:row>16</xdr:row>
      <xdr:rowOff>100965</xdr:rowOff>
    </xdr:from>
    <xdr:to>
      <xdr:col>9</xdr:col>
      <xdr:colOff>163286</xdr:colOff>
      <xdr:row>23</xdr:row>
      <xdr:rowOff>0</xdr:rowOff>
    </xdr:to>
    <xdr:sp macro="" textlink="">
      <xdr:nvSpPr>
        <xdr:cNvPr id="6" name="TextBox 5">
          <a:extLst>
            <a:ext uri="{FF2B5EF4-FFF2-40B4-BE49-F238E27FC236}">
              <a16:creationId xmlns:a16="http://schemas.microsoft.com/office/drawing/2014/main" id="{CD0F1B74-C874-485F-B97A-33B393189CB4}"/>
            </a:ext>
          </a:extLst>
        </xdr:cNvPr>
        <xdr:cNvSpPr txBox="1"/>
      </xdr:nvSpPr>
      <xdr:spPr>
        <a:xfrm>
          <a:off x="1428750" y="2836001"/>
          <a:ext cx="4572000" cy="11372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600"/>
            </a:spcAft>
            <a:buClrTx/>
            <a:buSzTx/>
            <a:buFontTx/>
            <a:buNone/>
            <a:tabLst/>
            <a:defRPr/>
          </a:pPr>
          <a:r>
            <a:rPr lang="en-US" sz="1100"/>
            <a:t>All the</a:t>
          </a:r>
          <a:r>
            <a:rPr lang="en-US" sz="1100" baseline="0"/>
            <a:t> orange worksheets should be shared with the jurisdictions. </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Readme</a:t>
          </a:r>
          <a:r>
            <a:rPr lang="en-US" sz="1100" baseline="0"/>
            <a:t> provides background information on the tool purpose and wayfinding.</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Inputs </a:t>
          </a:r>
          <a:r>
            <a:rPr lang="en-US" sz="1100" baseline="0"/>
            <a:t>includes all the user-defined inputs and source documentation.</a:t>
          </a:r>
          <a:endParaRPr lang="en-US">
            <a:effectLst/>
          </a:endParaRPr>
        </a:p>
      </xdr:txBody>
    </xdr:sp>
    <xdr:clientData/>
  </xdr:twoCellAnchor>
  <xdr:twoCellAnchor>
    <xdr:from>
      <xdr:col>2</xdr:col>
      <xdr:colOff>91440</xdr:colOff>
      <xdr:row>23</xdr:row>
      <xdr:rowOff>91440</xdr:rowOff>
    </xdr:from>
    <xdr:to>
      <xdr:col>8</xdr:col>
      <xdr:colOff>340178</xdr:colOff>
      <xdr:row>29</xdr:row>
      <xdr:rowOff>38100</xdr:rowOff>
    </xdr:to>
    <xdr:sp macro="" textlink="">
      <xdr:nvSpPr>
        <xdr:cNvPr id="7" name="TextBox 6">
          <a:extLst>
            <a:ext uri="{FF2B5EF4-FFF2-40B4-BE49-F238E27FC236}">
              <a16:creationId xmlns:a16="http://schemas.microsoft.com/office/drawing/2014/main" id="{F7884539-60C3-4689-BC9E-A0DCB4C94461}"/>
            </a:ext>
          </a:extLst>
        </xdr:cNvPr>
        <xdr:cNvSpPr txBox="1"/>
      </xdr:nvSpPr>
      <xdr:spPr>
        <a:xfrm>
          <a:off x="1424940" y="4064726"/>
          <a:ext cx="4113167" cy="10080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2">
                  <a:lumMod val="60000"/>
                  <a:lumOff val="40000"/>
                </a:schemeClr>
              </a:solidFill>
            </a:rPr>
            <a:t>light</a:t>
          </a:r>
          <a:r>
            <a:rPr lang="en-US" sz="1100" b="1" baseline="0">
              <a:solidFill>
                <a:schemeClr val="accent2">
                  <a:lumMod val="60000"/>
                  <a:lumOff val="40000"/>
                </a:schemeClr>
              </a:solidFill>
            </a:rPr>
            <a:t> orange</a:t>
          </a:r>
          <a:r>
            <a:rPr lang="en-US" sz="1100" b="1">
              <a:solidFill>
                <a:schemeClr val="accent2">
                  <a:lumMod val="60000"/>
                  <a:lumOff val="40000"/>
                </a:schemeClr>
              </a:solidFill>
            </a:rPr>
            <a:t> </a:t>
          </a:r>
          <a:r>
            <a:rPr lang="en-US" sz="1100"/>
            <a:t>worksheets compile</a:t>
          </a:r>
          <a:r>
            <a:rPr lang="en-US" sz="1100" baseline="0"/>
            <a:t> the estimates based on the geographies defined by the user on the Input tab. The estimates are organized into five topics: racial composition, cost burden, rental affordability, income and tenure.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91440</xdr:colOff>
      <xdr:row>28</xdr:row>
      <xdr:rowOff>91440</xdr:rowOff>
    </xdr:from>
    <xdr:to>
      <xdr:col>8</xdr:col>
      <xdr:colOff>285750</xdr:colOff>
      <xdr:row>32</xdr:row>
      <xdr:rowOff>102870</xdr:rowOff>
    </xdr:to>
    <xdr:sp macro="" textlink="">
      <xdr:nvSpPr>
        <xdr:cNvPr id="8" name="TextBox 7">
          <a:extLst>
            <a:ext uri="{FF2B5EF4-FFF2-40B4-BE49-F238E27FC236}">
              <a16:creationId xmlns:a16="http://schemas.microsoft.com/office/drawing/2014/main" id="{2947A767-7F16-4F3C-9377-B1DA64FD6F41}"/>
            </a:ext>
          </a:extLst>
        </xdr:cNvPr>
        <xdr:cNvSpPr txBox="1"/>
      </xdr:nvSpPr>
      <xdr:spPr>
        <a:xfrm>
          <a:off x="1424940" y="4949190"/>
          <a:ext cx="4058739" cy="7190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tx1"/>
              </a:solidFill>
            </a:rPr>
            <a:t>black</a:t>
          </a:r>
          <a:r>
            <a:rPr lang="en-US" sz="1100" b="1" baseline="0">
              <a:solidFill>
                <a:schemeClr val="accent2">
                  <a:lumMod val="60000"/>
                  <a:lumOff val="40000"/>
                </a:schemeClr>
              </a:solidFill>
            </a:rPr>
            <a:t> </a:t>
          </a:r>
          <a:r>
            <a:rPr lang="en-US" sz="1100"/>
            <a:t>worksheets include</a:t>
          </a:r>
          <a:r>
            <a:rPr lang="en-US" sz="1100" baseline="0"/>
            <a:t> cross walks and definitions for geographic areas. The toolkit includes all census designated places, towns, cities, and counties in Washington state.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66675</xdr:colOff>
      <xdr:row>32</xdr:row>
      <xdr:rowOff>123825</xdr:rowOff>
    </xdr:from>
    <xdr:to>
      <xdr:col>8</xdr:col>
      <xdr:colOff>123825</xdr:colOff>
      <xdr:row>38</xdr:row>
      <xdr:rowOff>114300</xdr:rowOff>
    </xdr:to>
    <xdr:sp macro="" textlink="">
      <xdr:nvSpPr>
        <xdr:cNvPr id="9" name="TextBox 8">
          <a:extLst>
            <a:ext uri="{FF2B5EF4-FFF2-40B4-BE49-F238E27FC236}">
              <a16:creationId xmlns:a16="http://schemas.microsoft.com/office/drawing/2014/main" id="{311DEB01-11FB-4CE5-A574-C5CA04679DEA}"/>
            </a:ext>
          </a:extLst>
        </xdr:cNvPr>
        <xdr:cNvSpPr txBox="1"/>
      </xdr:nvSpPr>
      <xdr:spPr>
        <a:xfrm>
          <a:off x="1438275" y="6734175"/>
          <a:ext cx="4171950" cy="1076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bg2">
                  <a:lumMod val="75000"/>
                </a:schemeClr>
              </a:solidFill>
            </a:rPr>
            <a:t>gray</a:t>
          </a:r>
          <a:r>
            <a:rPr lang="en-US" sz="1100" b="1" baseline="0">
              <a:solidFill>
                <a:schemeClr val="accent2">
                  <a:lumMod val="60000"/>
                  <a:lumOff val="40000"/>
                </a:schemeClr>
              </a:solidFill>
            </a:rPr>
            <a:t> </a:t>
          </a:r>
          <a:r>
            <a:rPr lang="en-US" sz="1100"/>
            <a:t>worksheets include</a:t>
          </a:r>
          <a:r>
            <a:rPr lang="en-US" sz="1100" baseline="0"/>
            <a:t> all the source data. For each source table there may be up to three workbooks: one for the estimates by place, one for the estimates by county and one that includes the variable definitions and metadata for the estimates. </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0</xdr:col>
      <xdr:colOff>161926</xdr:colOff>
      <xdr:row>40</xdr:row>
      <xdr:rowOff>64769</xdr:rowOff>
    </xdr:from>
    <xdr:to>
      <xdr:col>9</xdr:col>
      <xdr:colOff>478155</xdr:colOff>
      <xdr:row>55</xdr:row>
      <xdr:rowOff>176493</xdr:rowOff>
    </xdr:to>
    <xdr:sp macro="" textlink="">
      <xdr:nvSpPr>
        <xdr:cNvPr id="10" name="TextBox 9">
          <a:extLst>
            <a:ext uri="{FF2B5EF4-FFF2-40B4-BE49-F238E27FC236}">
              <a16:creationId xmlns:a16="http://schemas.microsoft.com/office/drawing/2014/main" id="{A613FA8A-FB16-4C43-A127-1CBED9926C2D}"/>
            </a:ext>
          </a:extLst>
        </xdr:cNvPr>
        <xdr:cNvSpPr txBox="1"/>
      </xdr:nvSpPr>
      <xdr:spPr>
        <a:xfrm>
          <a:off x="161926" y="7446644"/>
          <a:ext cx="6202679" cy="28263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On the Inputs tab, select</a:t>
          </a:r>
          <a:r>
            <a:rPr lang="en-US" sz="1100" baseline="0">
              <a:effectLst/>
            </a:rPr>
            <a:t> the jurisdiction for which you want data. You must also specify the county to which comparisons will be made. For jurisdictions that span more than one county, select the county that is most useful for making comparisons.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variables Census IDs and CHAS IDs will auto populate based on the jurisdictions you specify. They provide a cross walk for the identification fields between the different data sources.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Labels are autogenerated simplified labels for the selected geographies. These are the labels that will appear on the charts and tables.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Coefficient of Variation (CV) threshold is set at 30%. Changing the percentage here will change the CV threshold for recommending alternative charts. See the "Readme" tab for a more detailed explanation of the Coefficient of Variation.</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1</xdr:col>
      <xdr:colOff>581587</xdr:colOff>
      <xdr:row>56</xdr:row>
      <xdr:rowOff>53216</xdr:rowOff>
    </xdr:from>
    <xdr:to>
      <xdr:col>6</xdr:col>
      <xdr:colOff>392992</xdr:colOff>
      <xdr:row>67</xdr:row>
      <xdr:rowOff>4</xdr:rowOff>
    </xdr:to>
    <xdr:pic>
      <xdr:nvPicPr>
        <xdr:cNvPr id="11" name="Picture 10">
          <a:extLst>
            <a:ext uri="{FF2B5EF4-FFF2-40B4-BE49-F238E27FC236}">
              <a16:creationId xmlns:a16="http://schemas.microsoft.com/office/drawing/2014/main" id="{7FAFA11F-54C0-E5E5-D9D2-AB3FF4BEEB55}"/>
            </a:ext>
          </a:extLst>
        </xdr:cNvPr>
        <xdr:cNvPicPr>
          <a:picLocks noChangeAspect="1"/>
        </xdr:cNvPicPr>
      </xdr:nvPicPr>
      <xdr:blipFill>
        <a:blip xmlns:r="http://schemas.openxmlformats.org/officeDocument/2006/relationships" r:embed="rId1"/>
        <a:stretch>
          <a:fillRect/>
        </a:stretch>
      </xdr:blipFill>
      <xdr:spPr>
        <a:xfrm>
          <a:off x="1253940" y="9634245"/>
          <a:ext cx="3072317" cy="1795759"/>
        </a:xfrm>
        <a:prstGeom prst="rect">
          <a:avLst/>
        </a:prstGeom>
      </xdr:spPr>
    </xdr:pic>
    <xdr:clientData/>
  </xdr:twoCellAnchor>
  <xdr:twoCellAnchor>
    <xdr:from>
      <xdr:col>0</xdr:col>
      <xdr:colOff>190500</xdr:colOff>
      <xdr:row>69</xdr:row>
      <xdr:rowOff>38101</xdr:rowOff>
    </xdr:from>
    <xdr:to>
      <xdr:col>6</xdr:col>
      <xdr:colOff>276225</xdr:colOff>
      <xdr:row>81</xdr:row>
      <xdr:rowOff>114301</xdr:rowOff>
    </xdr:to>
    <xdr:sp macro="" textlink="">
      <xdr:nvSpPr>
        <xdr:cNvPr id="12" name="TextBox 11">
          <a:extLst>
            <a:ext uri="{FF2B5EF4-FFF2-40B4-BE49-F238E27FC236}">
              <a16:creationId xmlns:a16="http://schemas.microsoft.com/office/drawing/2014/main" id="{3C25059B-D104-4474-AD83-068F17F95D92}"/>
            </a:ext>
          </a:extLst>
        </xdr:cNvPr>
        <xdr:cNvSpPr txBox="1"/>
      </xdr:nvSpPr>
      <xdr:spPr>
        <a:xfrm>
          <a:off x="190500" y="12715876"/>
          <a:ext cx="4057650" cy="2247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The orange</a:t>
          </a:r>
          <a:r>
            <a:rPr lang="en-US" sz="1100" baseline="0">
              <a:effectLst/>
            </a:rPr>
            <a:t> tabs are for use by the jurisdiction. To print the orange tabs, select all the orange tabs by using [ctrl].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Once only the orange tabs are selected, use the print menu to print to PDF. See settings example </a:t>
          </a:r>
          <a:r>
            <a:rPr lang="en-US" sz="1100" baseline="0">
              <a:effectLst/>
              <a:sym typeface="Wingdings 3" panose="05040102010807070707" pitchFamily="18" charset="2"/>
            </a:rPr>
            <a: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sym typeface="Wingdings 3" panose="05040102010807070707" pitchFamily="18" charset="2"/>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sym typeface="Wingdings 3" panose="05040102010807070707" pitchFamily="18" charset="2"/>
            </a:rPr>
            <a:t>The PDF will print the specified print areas for each tab, roughly 31 pages.</a:t>
          </a: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6</xdr:col>
      <xdr:colOff>333375</xdr:colOff>
      <xdr:row>68</xdr:row>
      <xdr:rowOff>180976</xdr:rowOff>
    </xdr:from>
    <xdr:to>
      <xdr:col>9</xdr:col>
      <xdr:colOff>280552</xdr:colOff>
      <xdr:row>83</xdr:row>
      <xdr:rowOff>44017</xdr:rowOff>
    </xdr:to>
    <xdr:pic>
      <xdr:nvPicPr>
        <xdr:cNvPr id="13" name="Picture 12">
          <a:extLst>
            <a:ext uri="{FF2B5EF4-FFF2-40B4-BE49-F238E27FC236}">
              <a16:creationId xmlns:a16="http://schemas.microsoft.com/office/drawing/2014/main" id="{846160FE-99A0-07C7-19D3-5E60D7FCC424}"/>
            </a:ext>
          </a:extLst>
        </xdr:cNvPr>
        <xdr:cNvPicPr>
          <a:picLocks noChangeAspect="1"/>
        </xdr:cNvPicPr>
      </xdr:nvPicPr>
      <xdr:blipFill>
        <a:blip xmlns:r="http://schemas.openxmlformats.org/officeDocument/2006/relationships" r:embed="rId2"/>
        <a:stretch>
          <a:fillRect/>
        </a:stretch>
      </xdr:blipFill>
      <xdr:spPr>
        <a:xfrm>
          <a:off x="4305300" y="12630151"/>
          <a:ext cx="1861702" cy="2625291"/>
        </a:xfrm>
        <a:prstGeom prst="rect">
          <a:avLst/>
        </a:prstGeom>
      </xdr:spPr>
    </xdr:pic>
    <xdr:clientData/>
  </xdr:twoCellAnchor>
  <xdr:twoCellAnchor>
    <xdr:from>
      <xdr:col>0</xdr:col>
      <xdr:colOff>247649</xdr:colOff>
      <xdr:row>84</xdr:row>
      <xdr:rowOff>123824</xdr:rowOff>
    </xdr:from>
    <xdr:to>
      <xdr:col>9</xdr:col>
      <xdr:colOff>257174</xdr:colOff>
      <xdr:row>101</xdr:row>
      <xdr:rowOff>9524</xdr:rowOff>
    </xdr:to>
    <xdr:sp macro="" textlink="">
      <xdr:nvSpPr>
        <xdr:cNvPr id="2" name="TextBox 1">
          <a:extLst>
            <a:ext uri="{FF2B5EF4-FFF2-40B4-BE49-F238E27FC236}">
              <a16:creationId xmlns:a16="http://schemas.microsoft.com/office/drawing/2014/main" id="{103E102A-2A5A-4880-BA16-43CB0C4A1F69}"/>
            </a:ext>
          </a:extLst>
        </xdr:cNvPr>
        <xdr:cNvSpPr txBox="1"/>
      </xdr:nvSpPr>
      <xdr:spPr>
        <a:xfrm>
          <a:off x="247649" y="15563849"/>
          <a:ext cx="5895975" cy="2962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macro-enabled workbook allows the user at Commerce to create an extract that can be shared with the jurisdictions. The macro-enabled workbook includes EXPORT in the title.</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Set all user-defined inputs.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Save a new version with a file name that specifies the jurisdiction. </a:t>
          </a:r>
          <a:br>
            <a:rPr lang="en-US" sz="1100" baseline="0">
              <a:effectLst/>
            </a:rPr>
          </a:br>
          <a:r>
            <a:rPr lang="en-US" sz="1100" b="1" baseline="0">
              <a:effectLst/>
            </a:rPr>
            <a:t>The macro will overwrite some of the query functionality. Therefore it is important to only run the macro on a new (duplicate) version.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Go to the [Developer] tab in the ribbon, and select Macros.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Select the "ExportProfile" macro and press "run".</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Click [yes] when asked about deleting sheets. This will reduce the file size.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The resulting file should have a much smaller file size. Resave the new file as an Excel without Macros before you send it.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0.80938</cdr:x>
      <cdr:y>0.18502</cdr:y>
    </cdr:from>
    <cdr:to>
      <cdr:x>0.95622</cdr:x>
      <cdr:y>0.85105</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80693" y="676728"/>
          <a:ext cx="939859" cy="243607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1.xml><?xml version="1.0" encoding="utf-8"?>
<c:userShapes xmlns:c="http://schemas.openxmlformats.org/drawingml/2006/chart">
  <cdr:relSizeAnchor xmlns:cdr="http://schemas.openxmlformats.org/drawingml/2006/chartDrawing">
    <cdr:from>
      <cdr:x>0.8082</cdr:x>
      <cdr:y>0.14761</cdr:y>
    </cdr:from>
    <cdr:to>
      <cdr:x>0.95503</cdr:x>
      <cdr:y>0.81364</cdr:y>
    </cdr:to>
    <cdr:pic>
      <cdr:nvPicPr>
        <cdr:cNvPr id="2" name="Picture 1">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73120" y="539889"/>
          <a:ext cx="939830"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2.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0.79875</cdr:x>
      <cdr:y>0.16704</cdr:y>
    </cdr:from>
    <cdr:to>
      <cdr:x>0.94559</cdr:x>
      <cdr:y>0.83307</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12639" y="610960"/>
          <a:ext cx="939893"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3.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0.18874</cdr:y>
    </cdr:from>
    <cdr:to>
      <cdr:x>0.94163</cdr:x>
      <cdr:y>0.85373</cdr:y>
    </cdr:to>
    <cdr:pic>
      <cdr:nvPicPr>
        <cdr:cNvPr id="3" name="Picture 2">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690336"/>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4.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0.30721</cdr:x>
      <cdr:y>0.72037</cdr:y>
    </cdr:from>
    <cdr:to>
      <cdr:x>0.82622</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966384" y="16467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5.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0.35185</cdr:x>
      <cdr:y>0.82523</cdr:y>
    </cdr:from>
    <cdr:to>
      <cdr:x>0.87087</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252133"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6.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0.36657</cdr:x>
      <cdr:y>0.72037</cdr:y>
    </cdr:from>
    <cdr:to>
      <cdr:x>0.88559</cdr:x>
      <cdr:y>1</cdr:y>
    </cdr:to>
    <cdr:pic>
      <cdr:nvPicPr>
        <cdr:cNvPr id="12" name="Picture 11">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46325"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7.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0.72037</cdr:y>
    </cdr:from>
    <cdr:to>
      <cdr:x>0.88708</cdr:x>
      <cdr:y>1</cdr:y>
    </cdr:to>
    <cdr:pic>
      <cdr:nvPicPr>
        <cdr:cNvPr id="6" name="Picture 5">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8.xml><?xml version="1.0" encoding="utf-8"?>
<xdr:wsDr xmlns:xdr="http://schemas.openxmlformats.org/drawingml/2006/spreadsheetDrawing" xmlns:a="http://schemas.openxmlformats.org/drawingml/2006/main">
  <xdr:oneCellAnchor>
    <xdr:from>
      <xdr:col>2</xdr:col>
      <xdr:colOff>31464</xdr:colOff>
      <xdr:row>21</xdr:row>
      <xdr:rowOff>52775</xdr:rowOff>
    </xdr:from>
    <xdr:ext cx="6400800" cy="3657600"/>
    <xdr:graphicFrame macro="">
      <xdr:nvGraphicFramePr>
        <xdr:cNvPr id="10" name="Chart 9">
          <a:extLst>
            <a:ext uri="{FF2B5EF4-FFF2-40B4-BE49-F238E27FC236}">
              <a16:creationId xmlns:a16="http://schemas.microsoft.com/office/drawing/2014/main" id="{B81FE129-C454-4A94-B7E5-77457575E69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77707</xdr:colOff>
      <xdr:row>79</xdr:row>
      <xdr:rowOff>101435</xdr:rowOff>
    </xdr:from>
    <xdr:ext cx="6400800" cy="4637254"/>
    <xdr:graphicFrame macro="">
      <xdr:nvGraphicFramePr>
        <xdr:cNvPr id="12" name="Chart 11">
          <a:extLst>
            <a:ext uri="{FF2B5EF4-FFF2-40B4-BE49-F238E27FC236}">
              <a16:creationId xmlns:a16="http://schemas.microsoft.com/office/drawing/2014/main" id="{23390E68-AFFB-4A66-AA12-2005F67162F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57832</xdr:colOff>
      <xdr:row>46</xdr:row>
      <xdr:rowOff>72055</xdr:rowOff>
    </xdr:from>
    <xdr:ext cx="6400800" cy="4547570"/>
    <xdr:graphicFrame macro="">
      <xdr:nvGraphicFramePr>
        <xdr:cNvPr id="2" name="Chart 1">
          <a:extLst>
            <a:ext uri="{FF2B5EF4-FFF2-40B4-BE49-F238E27FC236}">
              <a16:creationId xmlns:a16="http://schemas.microsoft.com/office/drawing/2014/main" id="{1339E43B-A397-492B-BAB8-B531577E9D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twoCellAnchor>
    <xdr:from>
      <xdr:col>67</xdr:col>
      <xdr:colOff>176892</xdr:colOff>
      <xdr:row>2</xdr:row>
      <xdr:rowOff>0</xdr:rowOff>
    </xdr:from>
    <xdr:to>
      <xdr:col>68</xdr:col>
      <xdr:colOff>31568</xdr:colOff>
      <xdr:row>2</xdr:row>
      <xdr:rowOff>408642</xdr:rowOff>
    </xdr:to>
    <xdr:pic>
      <xdr:nvPicPr>
        <xdr:cNvPr id="13" name="Graphic 12" descr="Man with kid with solid fill">
          <a:extLst>
            <a:ext uri="{FF2B5EF4-FFF2-40B4-BE49-F238E27FC236}">
              <a16:creationId xmlns:a16="http://schemas.microsoft.com/office/drawing/2014/main" id="{B154E480-07D9-487E-8E5C-D0118BFA08E1}"/>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 xmlns:asvg="http://schemas.microsoft.com/office/drawing/2016/SVG/main" r:embed="rId5"/>
            </a:ext>
          </a:extLst>
        </a:blip>
        <a:stretch>
          <a:fillRect/>
        </a:stretch>
      </xdr:blipFill>
      <xdr:spPr>
        <a:xfrm>
          <a:off x="43896642" y="353786"/>
          <a:ext cx="548640" cy="408642"/>
        </a:xfrm>
        <a:prstGeom prst="rect">
          <a:avLst/>
        </a:prstGeom>
      </xdr:spPr>
    </xdr:pic>
    <xdr:clientData fLocksWithSheet="0"/>
  </xdr:twoCellAnchor>
  <xdr:twoCellAnchor>
    <xdr:from>
      <xdr:col>67</xdr:col>
      <xdr:colOff>222612</xdr:colOff>
      <xdr:row>3</xdr:row>
      <xdr:rowOff>27214</xdr:rowOff>
    </xdr:from>
    <xdr:to>
      <xdr:col>67</xdr:col>
      <xdr:colOff>679812</xdr:colOff>
      <xdr:row>5</xdr:row>
      <xdr:rowOff>62592</xdr:rowOff>
    </xdr:to>
    <xdr:pic>
      <xdr:nvPicPr>
        <xdr:cNvPr id="20" name="Graphic 19" descr="Home with solid fill">
          <a:extLst>
            <a:ext uri="{FF2B5EF4-FFF2-40B4-BE49-F238E27FC236}">
              <a16:creationId xmlns:a16="http://schemas.microsoft.com/office/drawing/2014/main" id="{C91F1D27-EC1C-43DD-81EE-B007366B854F}"/>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 xmlns:asvg="http://schemas.microsoft.com/office/drawing/2016/SVG/main" r:embed="rId7"/>
            </a:ext>
          </a:extLst>
        </a:blip>
        <a:stretch>
          <a:fillRect/>
        </a:stretch>
      </xdr:blipFill>
      <xdr:spPr>
        <a:xfrm>
          <a:off x="43942362" y="816428"/>
          <a:ext cx="457200" cy="457200"/>
        </a:xfrm>
        <a:prstGeom prst="rect">
          <a:avLst/>
        </a:prstGeom>
      </xdr:spPr>
    </xdr:pic>
    <xdr:clientData fLocksWithSheet="0"/>
  </xdr:twoCellAnchor>
  <xdr:twoCellAnchor editAs="oneCell">
    <xdr:from>
      <xdr:col>67</xdr:col>
      <xdr:colOff>209550</xdr:colOff>
      <xdr:row>7</xdr:row>
      <xdr:rowOff>152400</xdr:rowOff>
    </xdr:from>
    <xdr:to>
      <xdr:col>68</xdr:col>
      <xdr:colOff>53389</xdr:colOff>
      <xdr:row>11</xdr:row>
      <xdr:rowOff>131362</xdr:rowOff>
    </xdr:to>
    <xdr:pic>
      <xdr:nvPicPr>
        <xdr:cNvPr id="23" name="Picture 22">
          <a:extLst>
            <a:ext uri="{FF2B5EF4-FFF2-40B4-BE49-F238E27FC236}">
              <a16:creationId xmlns:a16="http://schemas.microsoft.com/office/drawing/2014/main" id="{B4507DE4-747E-8BE9-76B1-D7DD9E8A19F5}"/>
            </a:ext>
          </a:extLst>
        </xdr:cNvPr>
        <xdr:cNvPicPr>
          <a:picLocks noChangeAspect="1"/>
        </xdr:cNvPicPr>
      </xdr:nvPicPr>
      <xdr:blipFill>
        <a:blip xmlns:r="http://schemas.openxmlformats.org/officeDocument/2006/relationships" r:embed="rId8"/>
        <a:stretch>
          <a:fillRect/>
        </a:stretch>
      </xdr:blipFill>
      <xdr:spPr>
        <a:xfrm>
          <a:off x="44196000" y="1847850"/>
          <a:ext cx="548688" cy="912412"/>
        </a:xfrm>
        <a:prstGeom prst="rect">
          <a:avLst/>
        </a:prstGeom>
      </xdr:spPr>
    </xdr:pic>
    <xdr:clientData/>
  </xdr:twoCellAnchor>
  <xdr:twoCellAnchor editAs="oneCell">
    <xdr:from>
      <xdr:col>68</xdr:col>
      <xdr:colOff>103414</xdr:colOff>
      <xdr:row>7</xdr:row>
      <xdr:rowOff>179614</xdr:rowOff>
    </xdr:from>
    <xdr:to>
      <xdr:col>70</xdr:col>
      <xdr:colOff>130628</xdr:colOff>
      <xdr:row>11</xdr:row>
      <xdr:rowOff>97700</xdr:rowOff>
    </xdr:to>
    <xdr:pic>
      <xdr:nvPicPr>
        <xdr:cNvPr id="26" name="Picture 25">
          <a:extLst>
            <a:ext uri="{FF2B5EF4-FFF2-40B4-BE49-F238E27FC236}">
              <a16:creationId xmlns:a16="http://schemas.microsoft.com/office/drawing/2014/main" id="{A8908577-0EA4-A3CE-6F71-8201888AD399}"/>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44794714" y="1875064"/>
          <a:ext cx="2170340" cy="8572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181938</xdr:colOff>
      <xdr:row>19</xdr:row>
      <xdr:rowOff>128427</xdr:rowOff>
    </xdr:from>
    <xdr:to>
      <xdr:col>69</xdr:col>
      <xdr:colOff>1053359</xdr:colOff>
      <xdr:row>23</xdr:row>
      <xdr:rowOff>43023</xdr:rowOff>
    </xdr:to>
    <xdr:pic>
      <xdr:nvPicPr>
        <xdr:cNvPr id="30" name="Picture 29">
          <a:extLst>
            <a:ext uri="{FF2B5EF4-FFF2-40B4-BE49-F238E27FC236}">
              <a16:creationId xmlns:a16="http://schemas.microsoft.com/office/drawing/2014/main" id="{4C515C71-5447-0813-D5DF-015275B71159}"/>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48031685" y="4452135"/>
          <a:ext cx="2851336" cy="85639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299662</xdr:colOff>
      <xdr:row>6</xdr:row>
      <xdr:rowOff>214045</xdr:rowOff>
    </xdr:from>
    <xdr:to>
      <xdr:col>14</xdr:col>
      <xdr:colOff>290137</xdr:colOff>
      <xdr:row>15</xdr:row>
      <xdr:rowOff>214045</xdr:rowOff>
    </xdr:to>
    <xdr:sp macro="" textlink="">
      <xdr:nvSpPr>
        <xdr:cNvPr id="3" name="TextBox 2">
          <a:extLst>
            <a:ext uri="{FF2B5EF4-FFF2-40B4-BE49-F238E27FC236}">
              <a16:creationId xmlns:a16="http://schemas.microsoft.com/office/drawing/2014/main" id="{A7B8220D-30B9-4F1D-8C08-A05C39460567}"/>
            </a:ext>
          </a:extLst>
        </xdr:cNvPr>
        <xdr:cNvSpPr txBox="1"/>
      </xdr:nvSpPr>
      <xdr:spPr>
        <a:xfrm>
          <a:off x="7514850" y="1642795"/>
          <a:ext cx="1371600" cy="2071688"/>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Rental</a:t>
          </a:r>
          <a:r>
            <a:rPr lang="en-US" sz="1100" baseline="0"/>
            <a:t> h</a:t>
          </a:r>
          <a:r>
            <a:rPr lang="en-US" sz="1100"/>
            <a:t>ousing unit counts include vacant units available for rent. and </a:t>
          </a:r>
          <a:r>
            <a:rPr lang="en-US" sz="1100" baseline="0"/>
            <a:t>do not include housing units lacking complete kitchen or plumbing facilities.</a:t>
          </a:r>
          <a:endParaRPr lang="en-US" sz="1100"/>
        </a:p>
      </xdr:txBody>
    </xdr:sp>
    <xdr:clientData/>
  </xdr:twoCellAnchor>
  <xdr:twoCellAnchor editAs="oneCell">
    <xdr:from>
      <xdr:col>52</xdr:col>
      <xdr:colOff>0</xdr:colOff>
      <xdr:row>10</xdr:row>
      <xdr:rowOff>0</xdr:rowOff>
    </xdr:from>
    <xdr:to>
      <xdr:col>64</xdr:col>
      <xdr:colOff>9524</xdr:colOff>
      <xdr:row>13</xdr:row>
      <xdr:rowOff>28575</xdr:rowOff>
    </xdr:to>
    <xdr:pic>
      <xdr:nvPicPr>
        <xdr:cNvPr id="6" name="Picture 5">
          <a:extLst>
            <a:ext uri="{FF2B5EF4-FFF2-40B4-BE49-F238E27FC236}">
              <a16:creationId xmlns:a16="http://schemas.microsoft.com/office/drawing/2014/main" id="{AAE9CC2B-F658-FC15-1F3C-97EE7B5A52A4}"/>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41109900" y="2371725"/>
          <a:ext cx="3086100" cy="714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361155</xdr:colOff>
      <xdr:row>46</xdr:row>
      <xdr:rowOff>95250</xdr:rowOff>
    </xdr:from>
    <xdr:to>
      <xdr:col>15</xdr:col>
      <xdr:colOff>529748</xdr:colOff>
      <xdr:row>70</xdr:row>
      <xdr:rowOff>142876</xdr:rowOff>
    </xdr:to>
    <xdr:sp macro="" textlink="">
      <xdr:nvSpPr>
        <xdr:cNvPr id="7" name="TextBox 6">
          <a:extLst>
            <a:ext uri="{FF2B5EF4-FFF2-40B4-BE49-F238E27FC236}">
              <a16:creationId xmlns:a16="http://schemas.microsoft.com/office/drawing/2014/main" id="{5D28BF39-9EC8-4599-8E3F-894042397A05}"/>
            </a:ext>
          </a:extLst>
        </xdr:cNvPr>
        <xdr:cNvSpPr txBox="1"/>
      </xdr:nvSpPr>
      <xdr:spPr>
        <a:xfrm>
          <a:off x="7576343" y="9929813"/>
          <a:ext cx="2240280" cy="457200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11 compares the estimate of rental households and rental housing units (both occupied and vacant) at each income or affordability level. The comparison helps identify gaps in the available rental housing for the renter households in the jurisdiction. Shortfalls and surpluses suggest a mismatch between the rental housing need and availability. A surplus indicates that either a lower-income household is experiencing housing cost burden by paying more than 30% of its income on housing or a higher-income household is "down renting" by paying less than they can afford in rental housing. High rates of downrenting by moderate-income households are associated with an undersupply of entry-level homeownership options.</a:t>
          </a:r>
          <a:endParaRPr lang="en-US" sz="1100"/>
        </a:p>
      </xdr:txBody>
    </xdr:sp>
    <xdr:clientData/>
  </xdr:twoCellAnchor>
  <xdr:twoCellAnchor>
    <xdr:from>
      <xdr:col>12</xdr:col>
      <xdr:colOff>309564</xdr:colOff>
      <xdr:row>79</xdr:row>
      <xdr:rowOff>0</xdr:rowOff>
    </xdr:from>
    <xdr:to>
      <xdr:col>15</xdr:col>
      <xdr:colOff>478157</xdr:colOff>
      <xdr:row>97</xdr:row>
      <xdr:rowOff>11906</xdr:rowOff>
    </xdr:to>
    <xdr:sp macro="" textlink="">
      <xdr:nvSpPr>
        <xdr:cNvPr id="4" name="TextBox 3">
          <a:extLst>
            <a:ext uri="{FF2B5EF4-FFF2-40B4-BE49-F238E27FC236}">
              <a16:creationId xmlns:a16="http://schemas.microsoft.com/office/drawing/2014/main" id="{1BC7E39A-3286-4142-A64B-D0E0BFE8D6E4}"/>
            </a:ext>
          </a:extLst>
        </xdr:cNvPr>
        <xdr:cNvSpPr txBox="1"/>
      </xdr:nvSpPr>
      <xdr:spPr>
        <a:xfrm>
          <a:off x="7524752" y="16085344"/>
          <a:ext cx="2240280" cy="32623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12 compares the estimated change in the number of households in the income group and the number of housing units in the affordability group. The change in households could be new households in the jurisdiction or households switching between income groups due to an increase or decrease in income relative to county-wide patterns. Changes in rental units could indicate a loss of housing units, new housing units, or the relative affordability of the housing unit changing between 2014 and 2019.</a:t>
          </a:r>
          <a:endParaRPr lang="en-US" sz="1100"/>
        </a:p>
      </xdr:txBody>
    </xdr:sp>
    <xdr:clientData/>
  </xdr:twoCellAnchor>
</xdr:wsDr>
</file>

<file path=xl/drawings/drawing19.xml><?xml version="1.0" encoding="utf-8"?>
<c:userShapes xmlns:c="http://schemas.openxmlformats.org/drawingml/2006/chart">
  <cdr:relSizeAnchor xmlns:cdr="http://schemas.openxmlformats.org/drawingml/2006/chartDrawing">
    <cdr:from>
      <cdr:x>0.00929</cdr:x>
      <cdr:y>0.01498</cdr:y>
    </cdr:from>
    <cdr:to>
      <cdr:x>0.28824</cdr:x>
      <cdr:y>0.08322</cdr:y>
    </cdr:to>
    <cdr:sp macro="" textlink="'Rental Affordability'!$AK$10">
      <cdr:nvSpPr>
        <cdr:cNvPr id="2" name="TextBox 1">
          <a:extLst xmlns:a="http://schemas.openxmlformats.org/drawingml/2006/main">
            <a:ext uri="{FF2B5EF4-FFF2-40B4-BE49-F238E27FC236}">
              <a16:creationId xmlns:a16="http://schemas.microsoft.com/office/drawing/2014/main" id="{5D7131BD-9E30-0556-2CEE-D6F7CB2259C2}"/>
            </a:ext>
          </a:extLst>
        </cdr:cNvPr>
        <cdr:cNvSpPr txBox="1"/>
      </cdr:nvSpPr>
      <cdr:spPr>
        <a:xfrm xmlns:a="http://schemas.openxmlformats.org/drawingml/2006/main">
          <a:off x="59462" y="54791"/>
          <a:ext cx="1785499" cy="24959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88E6BB08-BEF9-4D8C-B2DA-842A7155AF65}" type="TxLink">
            <a:rPr lang="en-US" sz="1200" b="1" i="0" u="none" strike="noStrike">
              <a:solidFill>
                <a:srgbClr val="333333"/>
              </a:solidFill>
              <a:latin typeface="+mj-lt"/>
              <a:cs typeface="Arial"/>
            </a:rPr>
            <a:pPr algn="l"/>
            <a:t>Entiat</a:t>
          </a:fld>
          <a:endParaRPr lang="en-US" sz="1600" b="1">
            <a:latin typeface="+mj-lt"/>
          </a:endParaRPr>
        </a:p>
      </cdr:txBody>
    </cdr:sp>
  </cdr:relSizeAnchor>
  <cdr:relSizeAnchor xmlns:cdr="http://schemas.openxmlformats.org/drawingml/2006/chartDrawing">
    <cdr:from>
      <cdr:x>0.0078</cdr:x>
      <cdr:y>0.43596</cdr:y>
    </cdr:from>
    <cdr:to>
      <cdr:x>0.2808</cdr:x>
      <cdr:y>0.5042</cdr:y>
    </cdr:to>
    <cdr:sp macro="" textlink="'Rental Affordability'!$AN$10">
      <cdr:nvSpPr>
        <cdr:cNvPr id="3" name="TextBox 2">
          <a:extLst xmlns:a="http://schemas.openxmlformats.org/drawingml/2006/main">
            <a:ext uri="{FF2B5EF4-FFF2-40B4-BE49-F238E27FC236}">
              <a16:creationId xmlns:a16="http://schemas.microsoft.com/office/drawing/2014/main" id="{6C10B086-DE51-3CE9-7349-A470D021DE58}"/>
            </a:ext>
          </a:extLst>
        </cdr:cNvPr>
        <cdr:cNvSpPr txBox="1"/>
      </cdr:nvSpPr>
      <cdr:spPr>
        <a:xfrm xmlns:a="http://schemas.openxmlformats.org/drawingml/2006/main">
          <a:off x="49926" y="1594567"/>
          <a:ext cx="1747419" cy="24959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E393E551-4695-4E26-8DDC-5F0CBE02334C}" type="TxLink">
            <a:rPr lang="en-US" sz="1200" b="1" i="0" u="none" strike="noStrike">
              <a:solidFill>
                <a:srgbClr val="000000"/>
              </a:solidFill>
              <a:latin typeface="+mj-lt"/>
            </a:rPr>
            <a:pPr algn="l"/>
            <a:t>Chelan County</a:t>
          </a:fld>
          <a:endParaRPr lang="en-US" sz="1400" b="1">
            <a:latin typeface="+mj-lt"/>
          </a:endParaRPr>
        </a:p>
      </cdr:txBody>
    </cdr:sp>
  </cdr:relSizeAnchor>
  <cdr:relSizeAnchor xmlns:cdr="http://schemas.openxmlformats.org/drawingml/2006/chartDrawing">
    <cdr:from>
      <cdr:x>0.26877</cdr:x>
      <cdr:y>0.80785</cdr:y>
    </cdr:from>
    <cdr:to>
      <cdr:x>0.74846</cdr:x>
      <cdr:y>1</cdr:y>
    </cdr:to>
    <cdr:pic>
      <cdr:nvPicPr>
        <cdr:cNvPr id="5" name="Picture 4">
          <a:extLst xmlns:a="http://schemas.openxmlformats.org/drawingml/2006/main">
            <a:ext uri="{FF2B5EF4-FFF2-40B4-BE49-F238E27FC236}">
              <a16:creationId xmlns:a16="http://schemas.microsoft.com/office/drawing/2014/main" id="{AAE9CC2B-F658-FC15-1F3C-97EE7B5A52A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720351" y="2954784"/>
          <a:ext cx="3070367" cy="70281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xml><?xml version="1.0" encoding="utf-8"?>
<xdr:wsDr xmlns:xdr="http://schemas.openxmlformats.org/drawingml/2006/spreadsheetDrawing" xmlns:a="http://schemas.openxmlformats.org/drawingml/2006/main">
  <xdr:twoCellAnchor>
    <xdr:from>
      <xdr:col>3</xdr:col>
      <xdr:colOff>581025</xdr:colOff>
      <xdr:row>5</xdr:row>
      <xdr:rowOff>9527</xdr:rowOff>
    </xdr:from>
    <xdr:to>
      <xdr:col>6</xdr:col>
      <xdr:colOff>277786</xdr:colOff>
      <xdr:row>7</xdr:row>
      <xdr:rowOff>19050</xdr:rowOff>
    </xdr:to>
    <xdr:sp macro="" textlink="">
      <xdr:nvSpPr>
        <xdr:cNvPr id="2" name="TextBox 1">
          <a:extLst>
            <a:ext uri="{FF2B5EF4-FFF2-40B4-BE49-F238E27FC236}">
              <a16:creationId xmlns:a16="http://schemas.microsoft.com/office/drawing/2014/main" id="{C3751FF6-5244-0D4B-6C61-743631C790AD}"/>
            </a:ext>
          </a:extLst>
        </xdr:cNvPr>
        <xdr:cNvSpPr txBox="1"/>
      </xdr:nvSpPr>
      <xdr:spPr>
        <a:xfrm>
          <a:off x="6079000" y="1106711"/>
          <a:ext cx="3856413" cy="515915"/>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lnSpc>
              <a:spcPct val="120000"/>
            </a:lnSpc>
          </a:pPr>
          <a:r>
            <a:rPr lang="en-US" sz="1050">
              <a:solidFill>
                <a:schemeClr val="dk1"/>
              </a:solidFill>
              <a:latin typeface="+mn-lt"/>
              <a:ea typeface="+mn-ea"/>
              <a:cs typeface="+mn-cs"/>
            </a:rPr>
            <a:t>Commerce has set the model to provide estimates, charts, and tables for the selected jurisdiction and reference county.</a:t>
          </a:r>
        </a:p>
      </xdr:txBody>
    </xdr:sp>
    <xdr:clientData/>
  </xdr:twoCellAnchor>
  <xdr:twoCellAnchor>
    <xdr:from>
      <xdr:col>3</xdr:col>
      <xdr:colOff>92075</xdr:colOff>
      <xdr:row>5</xdr:row>
      <xdr:rowOff>50800</xdr:rowOff>
    </xdr:from>
    <xdr:to>
      <xdr:col>3</xdr:col>
      <xdr:colOff>596900</xdr:colOff>
      <xdr:row>6</xdr:row>
      <xdr:rowOff>254000</xdr:rowOff>
    </xdr:to>
    <xdr:sp macro="" textlink="">
      <xdr:nvSpPr>
        <xdr:cNvPr id="14" name="Arrow: Right 13">
          <a:extLst>
            <a:ext uri="{FF2B5EF4-FFF2-40B4-BE49-F238E27FC236}">
              <a16:creationId xmlns:a16="http://schemas.microsoft.com/office/drawing/2014/main" id="{64D7A34B-FD61-E2F3-333D-32076D7456C3}"/>
            </a:ext>
          </a:extLst>
        </xdr:cNvPr>
        <xdr:cNvSpPr/>
      </xdr:nvSpPr>
      <xdr:spPr>
        <a:xfrm rot="10800000">
          <a:off x="5568950" y="1130300"/>
          <a:ext cx="504825" cy="473075"/>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590550</xdr:colOff>
      <xdr:row>7</xdr:row>
      <xdr:rowOff>133351</xdr:rowOff>
    </xdr:from>
    <xdr:to>
      <xdr:col>6</xdr:col>
      <xdr:colOff>327426</xdr:colOff>
      <xdr:row>11</xdr:row>
      <xdr:rowOff>190500</xdr:rowOff>
    </xdr:to>
    <xdr:sp macro="" textlink="">
      <xdr:nvSpPr>
        <xdr:cNvPr id="3" name="TextBox 2">
          <a:extLst>
            <a:ext uri="{FF2B5EF4-FFF2-40B4-BE49-F238E27FC236}">
              <a16:creationId xmlns:a16="http://schemas.microsoft.com/office/drawing/2014/main" id="{E949EFBF-A9FB-43C7-8220-2A173C60752C}"/>
            </a:ext>
          </a:extLst>
        </xdr:cNvPr>
        <xdr:cNvSpPr txBox="1"/>
      </xdr:nvSpPr>
      <xdr:spPr>
        <a:xfrm>
          <a:off x="6088525" y="1736927"/>
          <a:ext cx="3896528" cy="99759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r>
            <a:rPr lang="en-US" sz="1100">
              <a:solidFill>
                <a:schemeClr val="dk1"/>
              </a:solidFill>
              <a:latin typeface="+mn-lt"/>
              <a:ea typeface="+mn-ea"/>
              <a:cs typeface="+mn-cs"/>
            </a:rPr>
            <a:t>These</a:t>
          </a:r>
          <a:r>
            <a:rPr lang="en-US" sz="1100" baseline="0">
              <a:solidFill>
                <a:schemeClr val="dk1"/>
              </a:solidFill>
              <a:latin typeface="+mn-lt"/>
              <a:ea typeface="+mn-ea"/>
              <a:cs typeface="+mn-cs"/>
            </a:rPr>
            <a:t> fields are generated based on the selection in the top two fields. They provide a cross walk for the identification fields </a:t>
          </a:r>
          <a:r>
            <a:rPr lang="en-US" sz="1050">
              <a:solidFill>
                <a:schemeClr val="dk1"/>
              </a:solidFill>
              <a:latin typeface="+mn-lt"/>
              <a:ea typeface="+mn-ea"/>
              <a:cs typeface="+mn-cs"/>
            </a:rPr>
            <a:t>between</a:t>
          </a:r>
          <a:r>
            <a:rPr lang="en-US" sz="1100" baseline="0">
              <a:solidFill>
                <a:schemeClr val="dk1"/>
              </a:solidFill>
              <a:latin typeface="+mn-lt"/>
              <a:ea typeface="+mn-ea"/>
              <a:cs typeface="+mn-cs"/>
            </a:rPr>
            <a:t> the different data sources.</a:t>
          </a:r>
        </a:p>
      </xdr:txBody>
    </xdr:sp>
    <xdr:clientData/>
  </xdr:twoCellAnchor>
  <xdr:twoCellAnchor>
    <xdr:from>
      <xdr:col>3</xdr:col>
      <xdr:colOff>612775</xdr:colOff>
      <xdr:row>12</xdr:row>
      <xdr:rowOff>171450</xdr:rowOff>
    </xdr:from>
    <xdr:to>
      <xdr:col>6</xdr:col>
      <xdr:colOff>349651</xdr:colOff>
      <xdr:row>15</xdr:row>
      <xdr:rowOff>19050</xdr:rowOff>
    </xdr:to>
    <xdr:sp macro="" textlink="">
      <xdr:nvSpPr>
        <xdr:cNvPr id="10" name="TextBox 9">
          <a:extLst>
            <a:ext uri="{FF2B5EF4-FFF2-40B4-BE49-F238E27FC236}">
              <a16:creationId xmlns:a16="http://schemas.microsoft.com/office/drawing/2014/main" id="{3153FA94-9B32-45AD-A3A5-C51D765BB465}"/>
            </a:ext>
          </a:extLst>
        </xdr:cNvPr>
        <xdr:cNvSpPr txBox="1"/>
      </xdr:nvSpPr>
      <xdr:spPr>
        <a:xfrm>
          <a:off x="6110750" y="2968665"/>
          <a:ext cx="3896528" cy="53484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sz="1100">
              <a:solidFill>
                <a:schemeClr val="dk1"/>
              </a:solidFill>
              <a:effectLst/>
              <a:latin typeface="+mn-lt"/>
              <a:ea typeface="+mn-ea"/>
              <a:cs typeface="+mn-cs"/>
            </a:rPr>
            <a:t>These are simplified labels that are autogenerated for the selected geographies.</a:t>
          </a:r>
          <a:r>
            <a:rPr lang="en-US" sz="1100" baseline="0">
              <a:solidFill>
                <a:schemeClr val="dk1"/>
              </a:solidFill>
              <a:effectLst/>
              <a:latin typeface="+mn-lt"/>
              <a:ea typeface="+mn-ea"/>
              <a:cs typeface="+mn-cs"/>
            </a:rPr>
            <a:t> </a:t>
          </a:r>
          <a:endParaRPr lang="en-US">
            <a:effectLst/>
          </a:endParaRPr>
        </a:p>
      </xdr:txBody>
    </xdr:sp>
    <xdr:clientData/>
  </xdr:twoCellAnchor>
  <xdr:twoCellAnchor>
    <xdr:from>
      <xdr:col>3</xdr:col>
      <xdr:colOff>120650</xdr:colOff>
      <xdr:row>8</xdr:row>
      <xdr:rowOff>146051</xdr:rowOff>
    </xdr:from>
    <xdr:to>
      <xdr:col>3</xdr:col>
      <xdr:colOff>625475</xdr:colOff>
      <xdr:row>10</xdr:row>
      <xdr:rowOff>177801</xdr:rowOff>
    </xdr:to>
    <xdr:sp macro="" textlink="">
      <xdr:nvSpPr>
        <xdr:cNvPr id="12" name="Arrow: Right 11">
          <a:extLst>
            <a:ext uri="{FF2B5EF4-FFF2-40B4-BE49-F238E27FC236}">
              <a16:creationId xmlns:a16="http://schemas.microsoft.com/office/drawing/2014/main" id="{D4750148-F2F9-4F33-BDB4-C5B6007AD714}"/>
            </a:ext>
          </a:extLst>
        </xdr:cNvPr>
        <xdr:cNvSpPr/>
      </xdr:nvSpPr>
      <xdr:spPr>
        <a:xfrm rot="10800000">
          <a:off x="5607050" y="2032001"/>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130175</xdr:colOff>
      <xdr:row>13</xdr:row>
      <xdr:rowOff>26988</xdr:rowOff>
    </xdr:from>
    <xdr:to>
      <xdr:col>3</xdr:col>
      <xdr:colOff>635000</xdr:colOff>
      <xdr:row>14</xdr:row>
      <xdr:rowOff>239713</xdr:rowOff>
    </xdr:to>
    <xdr:sp macro="" textlink="">
      <xdr:nvSpPr>
        <xdr:cNvPr id="13" name="Arrow: Right 12">
          <a:extLst>
            <a:ext uri="{FF2B5EF4-FFF2-40B4-BE49-F238E27FC236}">
              <a16:creationId xmlns:a16="http://schemas.microsoft.com/office/drawing/2014/main" id="{E6BEC75B-E9F9-4AD7-9C32-6C3CD7E34A36}"/>
            </a:ext>
          </a:extLst>
        </xdr:cNvPr>
        <xdr:cNvSpPr/>
      </xdr:nvSpPr>
      <xdr:spPr>
        <a:xfrm rot="10800000">
          <a:off x="5616575" y="3046413"/>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612775</xdr:colOff>
      <xdr:row>15</xdr:row>
      <xdr:rowOff>127475</xdr:rowOff>
    </xdr:from>
    <xdr:to>
      <xdr:col>6</xdr:col>
      <xdr:colOff>349651</xdr:colOff>
      <xdr:row>18</xdr:row>
      <xdr:rowOff>76199</xdr:rowOff>
    </xdr:to>
    <xdr:sp macro="" textlink="">
      <xdr:nvSpPr>
        <xdr:cNvPr id="15" name="TextBox 14">
          <a:extLst>
            <a:ext uri="{FF2B5EF4-FFF2-40B4-BE49-F238E27FC236}">
              <a16:creationId xmlns:a16="http://schemas.microsoft.com/office/drawing/2014/main" id="{D84470C2-BA11-478E-9338-7BE6DCD87AE5}"/>
            </a:ext>
          </a:extLst>
        </xdr:cNvPr>
        <xdr:cNvSpPr txBox="1"/>
      </xdr:nvSpPr>
      <xdr:spPr>
        <a:xfrm>
          <a:off x="6110750" y="3611937"/>
          <a:ext cx="3896528" cy="56362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a:effectLst/>
            </a:rPr>
            <a:t>The</a:t>
          </a:r>
          <a:r>
            <a:rPr lang="en-US" baseline="0">
              <a:effectLst/>
            </a:rPr>
            <a:t> Coefficient of Variation threshold used to test for estimate reliability.</a:t>
          </a:r>
          <a:endParaRPr lang="en-US">
            <a:effectLst/>
          </a:endParaRPr>
        </a:p>
      </xdr:txBody>
    </xdr:sp>
    <xdr:clientData/>
  </xdr:twoCellAnchor>
  <xdr:twoCellAnchor>
    <xdr:from>
      <xdr:col>3</xdr:col>
      <xdr:colOff>130175</xdr:colOff>
      <xdr:row>15</xdr:row>
      <xdr:rowOff>75407</xdr:rowOff>
    </xdr:from>
    <xdr:to>
      <xdr:col>3</xdr:col>
      <xdr:colOff>635000</xdr:colOff>
      <xdr:row>17</xdr:row>
      <xdr:rowOff>107157</xdr:rowOff>
    </xdr:to>
    <xdr:sp macro="" textlink="">
      <xdr:nvSpPr>
        <xdr:cNvPr id="16" name="Arrow: Right 15">
          <a:extLst>
            <a:ext uri="{FF2B5EF4-FFF2-40B4-BE49-F238E27FC236}">
              <a16:creationId xmlns:a16="http://schemas.microsoft.com/office/drawing/2014/main" id="{3DED612F-A09B-4D43-AEBB-DA4F33D9743C}"/>
            </a:ext>
          </a:extLst>
        </xdr:cNvPr>
        <xdr:cNvSpPr/>
      </xdr:nvSpPr>
      <xdr:spPr>
        <a:xfrm rot="10800000">
          <a:off x="5616575" y="3609182"/>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wsDr>
</file>

<file path=xl/drawings/drawing20.xml><?xml version="1.0" encoding="utf-8"?>
<c:userShapes xmlns:c="http://schemas.openxmlformats.org/drawingml/2006/chart">
  <cdr:relSizeAnchor xmlns:cdr="http://schemas.openxmlformats.org/drawingml/2006/chartDrawing">
    <cdr:from>
      <cdr:x>0.07304</cdr:x>
      <cdr:y>0.80006</cdr:y>
    </cdr:from>
    <cdr:to>
      <cdr:x>0.51724</cdr:x>
      <cdr:y>0.97545</cdr:y>
    </cdr:to>
    <cdr:pic>
      <cdr:nvPicPr>
        <cdr:cNvPr id="2" name="Picture 1">
          <a:extLst xmlns:a="http://schemas.openxmlformats.org/drawingml/2006/main">
            <a:ext uri="{FF2B5EF4-FFF2-40B4-BE49-F238E27FC236}">
              <a16:creationId xmlns:a16="http://schemas.microsoft.com/office/drawing/2014/main" id="{4C515C71-5447-0813-D5DF-015275B7115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467519" y="3932238"/>
          <a:ext cx="2843212" cy="862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0.08234</cdr:x>
      <cdr:y>0.79037</cdr:y>
    </cdr:from>
    <cdr:to>
      <cdr:x>0.16806</cdr:x>
      <cdr:y>0.97768</cdr:y>
    </cdr:to>
    <cdr:pic>
      <cdr:nvPicPr>
        <cdr:cNvPr id="3" name="Picture 2">
          <a:extLst xmlns:a="http://schemas.openxmlformats.org/drawingml/2006/main">
            <a:ext uri="{FF2B5EF4-FFF2-40B4-BE49-F238E27FC236}">
              <a16:creationId xmlns:a16="http://schemas.microsoft.com/office/drawing/2014/main" id="{22ADAD29-A649-419F-ECA8-910C2473B37A}"/>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2"/>
        <a:stretch xmlns:a="http://schemas.openxmlformats.org/drawingml/2006/main">
          <a:fillRect/>
        </a:stretch>
      </cdr:blipFill>
      <cdr:spPr>
        <a:xfrm xmlns:a="http://schemas.openxmlformats.org/drawingml/2006/main">
          <a:off x="527050" y="3884612"/>
          <a:ext cx="548688" cy="920576"/>
        </a:xfrm>
        <a:prstGeom xmlns:a="http://schemas.openxmlformats.org/drawingml/2006/main" prst="rect">
          <a:avLst/>
        </a:prstGeom>
      </cdr:spPr>
    </cdr:pic>
  </cdr:relSizeAnchor>
  <cdr:relSizeAnchor xmlns:cdr="http://schemas.openxmlformats.org/drawingml/2006/chartDrawing">
    <cdr:from>
      <cdr:x>0.53621</cdr:x>
      <cdr:y>0.78553</cdr:y>
    </cdr:from>
    <cdr:to>
      <cdr:x>0.92853</cdr:x>
      <cdr:y>0.98285</cdr:y>
    </cdr:to>
    <cdr:sp macro="" textlink="">
      <cdr:nvSpPr>
        <cdr:cNvPr id="4" name="TextBox 1">
          <a:extLst xmlns:a="http://schemas.openxmlformats.org/drawingml/2006/main">
            <a:ext uri="{FF2B5EF4-FFF2-40B4-BE49-F238E27FC236}">
              <a16:creationId xmlns:a16="http://schemas.microsoft.com/office/drawing/2014/main" id="{DA5280D1-FCF5-98DF-769A-02B10E18EA83}"/>
            </a:ext>
          </a:extLst>
        </cdr:cNvPr>
        <cdr:cNvSpPr txBox="1"/>
      </cdr:nvSpPr>
      <cdr:spPr>
        <a:xfrm xmlns:a="http://schemas.openxmlformats.org/drawingml/2006/main">
          <a:off x="3432175" y="3860800"/>
          <a:ext cx="2511135" cy="96981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nSpc>
              <a:spcPct val="110000"/>
            </a:lnSpc>
          </a:pPr>
          <a:r>
            <a:rPr lang="en-US" sz="1000" b="1" i="1">
              <a:solidFill>
                <a:schemeClr val="bg1">
                  <a:lumMod val="50000"/>
                </a:schemeClr>
              </a:solidFill>
            </a:rPr>
            <a:t>+/- The</a:t>
          </a:r>
          <a:r>
            <a:rPr lang="en-US" sz="1000" b="1" i="1" baseline="0">
              <a:solidFill>
                <a:schemeClr val="bg1">
                  <a:lumMod val="50000"/>
                </a:schemeClr>
              </a:solidFill>
            </a:rPr>
            <a:t> change in the number of  households in the income group and the number of rental units in the affordability group between 2014 and 2019</a:t>
          </a:r>
          <a:endParaRPr lang="en-US" sz="1000">
            <a:solidFill>
              <a:schemeClr val="bg1">
                <a:lumMod val="50000"/>
              </a:schemeClr>
            </a:solidFill>
          </a:endParaRPr>
        </a:p>
      </cdr:txBody>
    </cdr:sp>
  </cdr:relSizeAnchor>
</c:userShapes>
</file>

<file path=xl/drawings/drawing21.xml><?xml version="1.0" encoding="utf-8"?>
<c:userShapes xmlns:c="http://schemas.openxmlformats.org/drawingml/2006/chart">
  <cdr:relSizeAnchor xmlns:cdr="http://schemas.openxmlformats.org/drawingml/2006/chartDrawing">
    <cdr:from>
      <cdr:x>0.15063</cdr:x>
      <cdr:y>0.78243</cdr:y>
    </cdr:from>
    <cdr:to>
      <cdr:x>0.23636</cdr:x>
      <cdr:y>0.97088</cdr:y>
    </cdr:to>
    <cdr:pic>
      <cdr:nvPicPr>
        <cdr:cNvPr id="4" name="Picture 3">
          <a:extLst xmlns:a="http://schemas.openxmlformats.org/drawingml/2006/main">
            <a:ext uri="{FF2B5EF4-FFF2-40B4-BE49-F238E27FC236}">
              <a16:creationId xmlns:a16="http://schemas.microsoft.com/office/drawing/2014/main" id="{B4507DE4-747E-8BE9-76B1-D7DD9E8A19F5}"/>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964151" y="3558175"/>
          <a:ext cx="548741" cy="856989"/>
        </a:xfrm>
        <a:prstGeom xmlns:a="http://schemas.openxmlformats.org/drawingml/2006/main" prst="rect">
          <a:avLst/>
        </a:prstGeom>
      </cdr:spPr>
    </cdr:pic>
  </cdr:relSizeAnchor>
  <cdr:relSizeAnchor xmlns:cdr="http://schemas.openxmlformats.org/drawingml/2006/chartDrawing">
    <cdr:from>
      <cdr:x>0.23354</cdr:x>
      <cdr:y>0.788</cdr:y>
    </cdr:from>
    <cdr:to>
      <cdr:x>0.56879</cdr:x>
      <cdr:y>0.96516</cdr:y>
    </cdr:to>
    <cdr:pic>
      <cdr:nvPicPr>
        <cdr:cNvPr id="6" name="Picture 5">
          <a:extLst xmlns:a="http://schemas.openxmlformats.org/drawingml/2006/main">
            <a:ext uri="{FF2B5EF4-FFF2-40B4-BE49-F238E27FC236}">
              <a16:creationId xmlns:a16="http://schemas.microsoft.com/office/drawing/2014/main" id="{A8908577-0EA4-A3CE-6F71-8201888AD39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2">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494841" y="3583505"/>
          <a:ext cx="2145869" cy="805647"/>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0.59009</cdr:x>
      <cdr:y>0.79852</cdr:y>
    </cdr:from>
    <cdr:to>
      <cdr:x>0.98241</cdr:x>
      <cdr:y>0.99705</cdr:y>
    </cdr:to>
    <cdr:sp macro="" textlink="">
      <cdr:nvSpPr>
        <cdr:cNvPr id="7" name="TextBox 6">
          <a:extLst xmlns:a="http://schemas.openxmlformats.org/drawingml/2006/main">
            <a:ext uri="{FF2B5EF4-FFF2-40B4-BE49-F238E27FC236}">
              <a16:creationId xmlns:a16="http://schemas.microsoft.com/office/drawing/2014/main" id="{86BCE015-C283-D0AD-9EE0-76AD0484C632}"/>
            </a:ext>
          </a:extLst>
        </cdr:cNvPr>
        <cdr:cNvSpPr txBox="1"/>
      </cdr:nvSpPr>
      <cdr:spPr>
        <a:xfrm xmlns:a="http://schemas.openxmlformats.org/drawingml/2006/main">
          <a:off x="3777047" y="3631345"/>
          <a:ext cx="2511161" cy="90282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nSpc>
              <a:spcPct val="110000"/>
            </a:lnSpc>
          </a:pPr>
          <a:r>
            <a:rPr lang="en-US" sz="1100" b="1" i="1">
              <a:solidFill>
                <a:schemeClr val="bg1">
                  <a:lumMod val="50000"/>
                </a:schemeClr>
              </a:solidFill>
            </a:rPr>
            <a:t>+/- The</a:t>
          </a:r>
          <a:r>
            <a:rPr lang="en-US" sz="1100" b="1" i="1" baseline="0">
              <a:solidFill>
                <a:schemeClr val="bg1">
                  <a:lumMod val="50000"/>
                </a:schemeClr>
              </a:solidFill>
            </a:rPr>
            <a:t> difference between number of </a:t>
          </a:r>
          <a:r>
            <a:rPr lang="en-US" sz="1050" b="1" i="1" baseline="0">
              <a:solidFill>
                <a:schemeClr val="bg1">
                  <a:lumMod val="50000"/>
                </a:schemeClr>
              </a:solidFill>
            </a:rPr>
            <a:t>households</a:t>
          </a:r>
          <a:r>
            <a:rPr lang="en-US" sz="1100" b="1" i="1" baseline="0">
              <a:solidFill>
                <a:schemeClr val="bg1">
                  <a:lumMod val="50000"/>
                </a:schemeClr>
              </a:solidFill>
            </a:rPr>
            <a:t> in the income group and the number of rental units affordable to the income group</a:t>
          </a:r>
          <a:r>
            <a:rPr lang="en-US" sz="1100" baseline="0">
              <a:solidFill>
                <a:schemeClr val="bg1">
                  <a:lumMod val="50000"/>
                </a:schemeClr>
              </a:solidFill>
            </a:rPr>
            <a:t> </a:t>
          </a:r>
          <a:endParaRPr lang="en-US" sz="1100">
            <a:solidFill>
              <a:schemeClr val="bg1">
                <a:lumMod val="50000"/>
              </a:schemeClr>
            </a:solidFill>
          </a:endParaRPr>
        </a:p>
      </cdr:txBody>
    </cdr:sp>
  </cdr:relSizeAnchor>
</c:userShapes>
</file>

<file path=xl/drawings/drawing22.xml><?xml version="1.0" encoding="utf-8"?>
<xdr:wsDr xmlns:xdr="http://schemas.openxmlformats.org/drawingml/2006/spreadsheetDrawing" xmlns:a="http://schemas.openxmlformats.org/drawingml/2006/main">
  <xdr:oneCellAnchor>
    <xdr:from>
      <xdr:col>1</xdr:col>
      <xdr:colOff>24244</xdr:colOff>
      <xdr:row>79</xdr:row>
      <xdr:rowOff>24592</xdr:rowOff>
    </xdr:from>
    <xdr:ext cx="6400800" cy="3467908"/>
    <xdr:graphicFrame macro="">
      <xdr:nvGraphicFramePr>
        <xdr:cNvPr id="2" name="Chart 1">
          <a:extLst>
            <a:ext uri="{FF2B5EF4-FFF2-40B4-BE49-F238E27FC236}">
              <a16:creationId xmlns:a16="http://schemas.microsoft.com/office/drawing/2014/main" id="{B07AD33E-88FC-4B56-AEBA-B60166F10C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1</xdr:col>
      <xdr:colOff>9141</xdr:colOff>
      <xdr:row>32</xdr:row>
      <xdr:rowOff>29971</xdr:rowOff>
    </xdr:from>
    <xdr:ext cx="6400800" cy="3657600"/>
    <xdr:graphicFrame macro="">
      <xdr:nvGraphicFramePr>
        <xdr:cNvPr id="3" name="Chart 2">
          <a:extLst>
            <a:ext uri="{FF2B5EF4-FFF2-40B4-BE49-F238E27FC236}">
              <a16:creationId xmlns:a16="http://schemas.microsoft.com/office/drawing/2014/main" id="{74DE02B1-4B70-453A-9202-E5EF8DCA49A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1</xdr:col>
      <xdr:colOff>19322</xdr:colOff>
      <xdr:row>101</xdr:row>
      <xdr:rowOff>22588</xdr:rowOff>
    </xdr:from>
    <xdr:ext cx="6400800" cy="2743200"/>
    <xdr:graphicFrame macro="">
      <xdr:nvGraphicFramePr>
        <xdr:cNvPr id="4" name="Chart 3">
          <a:extLst>
            <a:ext uri="{FF2B5EF4-FFF2-40B4-BE49-F238E27FC236}">
              <a16:creationId xmlns:a16="http://schemas.microsoft.com/office/drawing/2014/main" id="{EE23389F-F972-4BD0-BDFD-85B3AC7E300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1</xdr:col>
      <xdr:colOff>14595</xdr:colOff>
      <xdr:row>56</xdr:row>
      <xdr:rowOff>30826</xdr:rowOff>
    </xdr:from>
    <xdr:ext cx="6400800" cy="3657600"/>
    <xdr:graphicFrame macro="">
      <xdr:nvGraphicFramePr>
        <xdr:cNvPr id="7" name="Chart 6">
          <a:extLst>
            <a:ext uri="{FF2B5EF4-FFF2-40B4-BE49-F238E27FC236}">
              <a16:creationId xmlns:a16="http://schemas.microsoft.com/office/drawing/2014/main" id="{4B9F0B7E-14C6-49E4-85A6-52FF7CEDE0A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1</xdr:col>
      <xdr:colOff>65011</xdr:colOff>
      <xdr:row>173</xdr:row>
      <xdr:rowOff>142875</xdr:rowOff>
    </xdr:from>
    <xdr:ext cx="6400800" cy="6492875"/>
    <xdr:graphicFrame macro="">
      <xdr:nvGraphicFramePr>
        <xdr:cNvPr id="9" name="Chart 8">
          <a:extLst>
            <a:ext uri="{FF2B5EF4-FFF2-40B4-BE49-F238E27FC236}">
              <a16:creationId xmlns:a16="http://schemas.microsoft.com/office/drawing/2014/main" id="{1F2B5273-A10C-4DB6-B441-4C613324D47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twoCellAnchor editAs="oneCell">
    <xdr:from>
      <xdr:col>51</xdr:col>
      <xdr:colOff>0</xdr:colOff>
      <xdr:row>9</xdr:row>
      <xdr:rowOff>0</xdr:rowOff>
    </xdr:from>
    <xdr:to>
      <xdr:col>66</xdr:col>
      <xdr:colOff>15240</xdr:colOff>
      <xdr:row>12</xdr:row>
      <xdr:rowOff>93345</xdr:rowOff>
    </xdr:to>
    <xdr:pic>
      <xdr:nvPicPr>
        <xdr:cNvPr id="11" name="Picture 10">
          <a:extLst>
            <a:ext uri="{FF2B5EF4-FFF2-40B4-BE49-F238E27FC236}">
              <a16:creationId xmlns:a16="http://schemas.microsoft.com/office/drawing/2014/main" id="{59C3CE31-3B96-C885-C861-20FB3412F8E9}"/>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30861000" y="1933575"/>
          <a:ext cx="4124325" cy="619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10</xdr:col>
      <xdr:colOff>127904</xdr:colOff>
      <xdr:row>7</xdr:row>
      <xdr:rowOff>38100</xdr:rowOff>
    </xdr:from>
    <xdr:to>
      <xdr:col>16</xdr:col>
      <xdr:colOff>73269</xdr:colOff>
      <xdr:row>27</xdr:row>
      <xdr:rowOff>109904</xdr:rowOff>
    </xdr:to>
    <xdr:sp macro="" textlink="">
      <xdr:nvSpPr>
        <xdr:cNvPr id="5" name="TextBox 4">
          <a:extLst>
            <a:ext uri="{FF2B5EF4-FFF2-40B4-BE49-F238E27FC236}">
              <a16:creationId xmlns:a16="http://schemas.microsoft.com/office/drawing/2014/main" id="{01D7C1F2-C09D-4EAB-B30B-02DEA3D6287F}"/>
            </a:ext>
          </a:extLst>
        </xdr:cNvPr>
        <xdr:cNvSpPr txBox="1"/>
      </xdr:nvSpPr>
      <xdr:spPr>
        <a:xfrm>
          <a:off x="7528096" y="1540119"/>
          <a:ext cx="2070173" cy="3613150"/>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individual racial or ethnic groups may not equal the estimate for all occupied housing units (category "All") for a couple of reasons. First, the CHAS 2015 - 2019 data release suppresses the racial category "Other (including multiple races, non-Hispanic)" for Table 1. In addition, CHAS data use a rounding protocol established by the Census Bureau for small estimates. Due to sampling error, estimates for small groups may be unreliable. Follow the chart recommendations indicated on the "Racial Composition" tab for your analysis.</a:t>
          </a:r>
          <a:endParaRPr lang="en-US" sz="1100"/>
        </a:p>
      </xdr:txBody>
    </xdr:sp>
    <xdr:clientData/>
  </xdr:twoCellAnchor>
</xdr:wsDr>
</file>

<file path=xl/drawings/drawing23.xml><?xml version="1.0" encoding="utf-8"?>
<c:userShapes xmlns:c="http://schemas.openxmlformats.org/drawingml/2006/chart">
  <cdr:relSizeAnchor xmlns:cdr="http://schemas.openxmlformats.org/drawingml/2006/chartDrawing">
    <cdr:from>
      <cdr:x>0.24901</cdr:x>
      <cdr:y>0.80366</cdr:y>
    </cdr:from>
    <cdr:to>
      <cdr:x>0.89335</cdr:x>
      <cdr:y>0.97293</cdr:y>
    </cdr:to>
    <cdr:pic>
      <cdr:nvPicPr>
        <cdr:cNvPr id="3" name="Picture 2">
          <a:extLst xmlns:a="http://schemas.openxmlformats.org/drawingml/2006/main">
            <a:ext uri="{FF2B5EF4-FFF2-40B4-BE49-F238E27FC236}">
              <a16:creationId xmlns:a16="http://schemas.microsoft.com/office/drawing/2014/main" id="{76ABCB28-FF66-AE86-29D4-5D38BBFB1958}"/>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93863" y="2787030"/>
          <a:ext cx="4124292" cy="587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4.xml><?xml version="1.0" encoding="utf-8"?>
<c:userShapes xmlns:c="http://schemas.openxmlformats.org/drawingml/2006/chart">
  <cdr:relSizeAnchor xmlns:cdr="http://schemas.openxmlformats.org/drawingml/2006/chartDrawing">
    <cdr:from>
      <cdr:x>0.26467</cdr:x>
      <cdr:y>0.73016</cdr:y>
    </cdr:from>
    <cdr:to>
      <cdr:x>0.90901</cdr:x>
      <cdr:y>0.97716</cdr:y>
    </cdr:to>
    <cdr:pic>
      <cdr:nvPicPr>
        <cdr:cNvPr id="2" name="Picture 1">
          <a:extLst xmlns:a="http://schemas.openxmlformats.org/drawingml/2006/main">
            <a:ext uri="{FF2B5EF4-FFF2-40B4-BE49-F238E27FC236}">
              <a16:creationId xmlns:a16="http://schemas.microsoft.com/office/drawing/2014/main" id="{4E6CB2B7-53FA-8380-7275-A2E5EF4E9B9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694124" y="1830195"/>
          <a:ext cx="4124292" cy="61912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5.xml><?xml version="1.0" encoding="utf-8"?>
<c:userShapes xmlns:c="http://schemas.openxmlformats.org/drawingml/2006/chart">
  <cdr:relSizeAnchor xmlns:cdr="http://schemas.openxmlformats.org/drawingml/2006/chartDrawing">
    <cdr:from>
      <cdr:x>0.24653</cdr:x>
      <cdr:y>0.88805</cdr:y>
    </cdr:from>
    <cdr:to>
      <cdr:x>0.87719</cdr:x>
      <cdr:y>0.99558</cdr:y>
    </cdr:to>
    <cdr:pic>
      <cdr:nvPicPr>
        <cdr:cNvPr id="2" name="Picture 1">
          <a:extLst xmlns:a="http://schemas.openxmlformats.org/drawingml/2006/main">
            <a:ext uri="{FF2B5EF4-FFF2-40B4-BE49-F238E27FC236}">
              <a16:creationId xmlns:a16="http://schemas.microsoft.com/office/drawing/2014/main" id="{B3AFE0C1-FB8F-AE99-7A02-9C7D7007AE8D}"/>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77959" y="5588392"/>
          <a:ext cx="4036738" cy="67665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1.5623E-7</cdr:x>
      <cdr:y>0.02736</cdr:y>
    </cdr:from>
    <cdr:to>
      <cdr:x>0.27506</cdr:x>
      <cdr:y>0.06458</cdr:y>
    </cdr:to>
    <cdr:sp macro="" textlink="">
      <cdr:nvSpPr>
        <cdr:cNvPr id="4" name="TextBox 3">
          <a:extLst xmlns:a="http://schemas.openxmlformats.org/drawingml/2006/main">
            <a:ext uri="{FF2B5EF4-FFF2-40B4-BE49-F238E27FC236}">
              <a16:creationId xmlns:a16="http://schemas.microsoft.com/office/drawing/2014/main" id="{79E08F00-C4A8-4D91-D9C5-91DD5C2FDEA9}"/>
            </a:ext>
          </a:extLst>
        </cdr:cNvPr>
        <cdr:cNvSpPr txBox="1"/>
      </cdr:nvSpPr>
      <cdr:spPr>
        <a:xfrm xmlns:a="http://schemas.openxmlformats.org/drawingml/2006/main">
          <a:off x="1" y="172151"/>
          <a:ext cx="1760614" cy="234250"/>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lIns="0" rIns="0" rtlCol="0"/>
        <a:lstStyle xmlns:a="http://schemas.openxmlformats.org/drawingml/2006/main"/>
        <a:p xmlns:a="http://schemas.openxmlformats.org/drawingml/2006/main">
          <a:pPr algn="ctr"/>
          <a:r>
            <a:rPr lang="en-US" sz="1200">
              <a:solidFill>
                <a:schemeClr val="tx2"/>
              </a:solidFill>
            </a:rPr>
            <a:t>              </a:t>
          </a:r>
          <a:r>
            <a:rPr lang="en-US" sz="1200" b="1">
              <a:solidFill>
                <a:schemeClr val="tx2"/>
              </a:solidFill>
            </a:rPr>
            <a:t>All Households</a:t>
          </a:r>
        </a:p>
      </cdr:txBody>
    </cdr:sp>
  </cdr:relSizeAnchor>
  <cdr:relSizeAnchor xmlns:cdr="http://schemas.openxmlformats.org/drawingml/2006/chartDrawing">
    <cdr:from>
      <cdr:x>0.03869</cdr:x>
      <cdr:y>0.16556</cdr:y>
    </cdr:from>
    <cdr:to>
      <cdr:x>0.21405</cdr:x>
      <cdr:y>0.20663</cdr:y>
    </cdr:to>
    <cdr:sp macro="" textlink="">
      <cdr:nvSpPr>
        <cdr:cNvPr id="5" name="TextBox 1">
          <a:extLst xmlns:a="http://schemas.openxmlformats.org/drawingml/2006/main">
            <a:ext uri="{FF2B5EF4-FFF2-40B4-BE49-F238E27FC236}">
              <a16:creationId xmlns:a16="http://schemas.microsoft.com/office/drawing/2014/main" id="{16EB122F-A43C-D507-6867-8D917F543E5E}"/>
            </a:ext>
          </a:extLst>
        </cdr:cNvPr>
        <cdr:cNvSpPr txBox="1"/>
      </cdr:nvSpPr>
      <cdr:spPr>
        <a:xfrm xmlns:a="http://schemas.openxmlformats.org/drawingml/2006/main">
          <a:off x="247650" y="1041815"/>
          <a:ext cx="1122439" cy="258447"/>
        </a:xfrm>
        <a:prstGeom xmlns:a="http://schemas.openxmlformats.org/drawingml/2006/main" prst="rect">
          <a:avLst/>
        </a:prstGeom>
        <a:solidFill xmlns:a="http://schemas.openxmlformats.org/drawingml/2006/main">
          <a:schemeClr val="bg1"/>
        </a:solidFill>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solidFill>
                <a:schemeClr val="tx2"/>
              </a:solidFill>
            </a:rPr>
            <a:t>Asian</a:t>
          </a:r>
          <a:endParaRPr lang="en-US" sz="1200" b="1">
            <a:solidFill>
              <a:schemeClr val="tx2"/>
            </a:solidFill>
            <a:latin typeface="+mn-lt"/>
            <a:ea typeface="+mn-ea"/>
            <a:cs typeface="+mn-cs"/>
          </a:endParaRPr>
        </a:p>
      </cdr:txBody>
    </cdr:sp>
  </cdr:relSizeAnchor>
  <cdr:relSizeAnchor xmlns:cdr="http://schemas.openxmlformats.org/drawingml/2006/chartDrawing">
    <cdr:from>
      <cdr:x>0.00015</cdr:x>
      <cdr:y>0.3066</cdr:y>
    </cdr:from>
    <cdr:to>
      <cdr:x>0.39857</cdr:x>
      <cdr:y>0.34612</cdr:y>
    </cdr:to>
    <cdr:sp macro="" textlink="">
      <cdr:nvSpPr>
        <cdr:cNvPr id="6" name="TextBox 1">
          <a:extLst xmlns:a="http://schemas.openxmlformats.org/drawingml/2006/main">
            <a:ext uri="{FF2B5EF4-FFF2-40B4-BE49-F238E27FC236}">
              <a16:creationId xmlns:a16="http://schemas.microsoft.com/office/drawing/2014/main" id="{59AAB7A1-C445-84AB-A72D-0A1324A4E586}"/>
            </a:ext>
          </a:extLst>
        </cdr:cNvPr>
        <cdr:cNvSpPr txBox="1"/>
      </cdr:nvSpPr>
      <cdr:spPr>
        <a:xfrm xmlns:a="http://schemas.openxmlformats.org/drawingml/2006/main">
          <a:off x="972" y="1929404"/>
          <a:ext cx="2550217" cy="248646"/>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Black</a:t>
          </a:r>
          <a:r>
            <a:rPr lang="en-US" sz="1100" b="1"/>
            <a:t> </a:t>
          </a:r>
          <a:r>
            <a:rPr lang="en-US" sz="1200" b="1">
              <a:solidFill>
                <a:schemeClr val="tx2"/>
              </a:solidFill>
              <a:latin typeface="+mn-lt"/>
              <a:ea typeface="+mn-ea"/>
              <a:cs typeface="+mn-cs"/>
            </a:rPr>
            <a:t>or African American</a:t>
          </a:r>
        </a:p>
      </cdr:txBody>
    </cdr:sp>
  </cdr:relSizeAnchor>
  <cdr:relSizeAnchor xmlns:cdr="http://schemas.openxmlformats.org/drawingml/2006/chartDrawing">
    <cdr:from>
      <cdr:x>0</cdr:x>
      <cdr:y>0.45723</cdr:y>
    </cdr:from>
    <cdr:to>
      <cdr:x>0.42238</cdr:x>
      <cdr:y>0.48537</cdr:y>
    </cdr:to>
    <cdr:sp macro="" textlink="">
      <cdr:nvSpPr>
        <cdr:cNvPr id="7"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2877255"/>
          <a:ext cx="2703589" cy="177095"/>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Hispanic or Latino (any race)</a:t>
          </a:r>
        </a:p>
      </cdr:txBody>
    </cdr:sp>
  </cdr:relSizeAnchor>
  <cdr:relSizeAnchor xmlns:cdr="http://schemas.openxmlformats.org/drawingml/2006/chartDrawing">
    <cdr:from>
      <cdr:x>0.00744</cdr:x>
      <cdr:y>0.59169</cdr:y>
    </cdr:from>
    <cdr:to>
      <cdr:x>0.35691</cdr:x>
      <cdr:y>0.64059</cdr:y>
    </cdr:to>
    <cdr:sp macro="" textlink="">
      <cdr:nvSpPr>
        <cdr:cNvPr id="8"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47625" y="3841751"/>
          <a:ext cx="2236864" cy="317499"/>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Other</a:t>
          </a:r>
          <a:r>
            <a:rPr lang="en-US" sz="1100" b="1"/>
            <a:t> </a:t>
          </a:r>
          <a:r>
            <a:rPr lang="en-US" sz="1200" b="1">
              <a:solidFill>
                <a:schemeClr val="tx2"/>
              </a:solidFill>
              <a:latin typeface="+mn-lt"/>
              <a:ea typeface="+mn-ea"/>
              <a:cs typeface="+mn-cs"/>
            </a:rPr>
            <a:t>Race</a:t>
          </a:r>
        </a:p>
      </cdr:txBody>
    </cdr:sp>
  </cdr:relSizeAnchor>
  <cdr:relSizeAnchor xmlns:cdr="http://schemas.openxmlformats.org/drawingml/2006/chartDrawing">
    <cdr:from>
      <cdr:x>0</cdr:x>
      <cdr:y>0.72863</cdr:y>
    </cdr:from>
    <cdr:to>
      <cdr:x>0.47011</cdr:x>
      <cdr:y>0.77833</cdr:y>
    </cdr:to>
    <cdr:sp macro="" textlink="">
      <cdr:nvSpPr>
        <cdr:cNvPr id="9"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4585145"/>
          <a:ext cx="3009080" cy="312754"/>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White</a:t>
          </a:r>
        </a:p>
      </cdr:txBody>
    </cdr:sp>
  </cdr:relSizeAnchor>
</c:userShapes>
</file>

<file path=xl/drawings/drawing26.xml><?xml version="1.0" encoding="utf-8"?>
<xdr:wsDr xmlns:xdr="http://schemas.openxmlformats.org/drawingml/2006/spreadsheetDrawing" xmlns:a="http://schemas.openxmlformats.org/drawingml/2006/main">
  <xdr:twoCellAnchor editAs="absolute">
    <xdr:from>
      <xdr:col>1</xdr:col>
      <xdr:colOff>25820</xdr:colOff>
      <xdr:row>23</xdr:row>
      <xdr:rowOff>55671</xdr:rowOff>
    </xdr:from>
    <xdr:to>
      <xdr:col>10</xdr:col>
      <xdr:colOff>521120</xdr:colOff>
      <xdr:row>42</xdr:row>
      <xdr:rowOff>179496</xdr:rowOff>
    </xdr:to>
    <xdr:graphicFrame macro="">
      <xdr:nvGraphicFramePr>
        <xdr:cNvPr id="5" name="Chart 4">
          <a:extLst>
            <a:ext uri="{FF2B5EF4-FFF2-40B4-BE49-F238E27FC236}">
              <a16:creationId xmlns:a16="http://schemas.microsoft.com/office/drawing/2014/main" id="{2834034D-6C51-AF8F-7E03-95A2194FAC0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42981</xdr:colOff>
      <xdr:row>48</xdr:row>
      <xdr:rowOff>104377</xdr:rowOff>
    </xdr:from>
    <xdr:to>
      <xdr:col>10</xdr:col>
      <xdr:colOff>570031</xdr:colOff>
      <xdr:row>65</xdr:row>
      <xdr:rowOff>57150</xdr:rowOff>
    </xdr:to>
    <xdr:graphicFrame macro="">
      <xdr:nvGraphicFramePr>
        <xdr:cNvPr id="6" name="Chart 5">
          <a:extLst>
            <a:ext uri="{FF2B5EF4-FFF2-40B4-BE49-F238E27FC236}">
              <a16:creationId xmlns:a16="http://schemas.microsoft.com/office/drawing/2014/main" id="{F5E1116E-8645-454B-ABEB-058B7868F9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180974</xdr:colOff>
      <xdr:row>6</xdr:row>
      <xdr:rowOff>209550</xdr:rowOff>
    </xdr:from>
    <xdr:to>
      <xdr:col>13</xdr:col>
      <xdr:colOff>561975</xdr:colOff>
      <xdr:row>18</xdr:row>
      <xdr:rowOff>144237</xdr:rowOff>
    </xdr:to>
    <xdr:sp macro="" textlink="">
      <xdr:nvSpPr>
        <xdr:cNvPr id="2" name="TextBox 1">
          <a:extLst>
            <a:ext uri="{FF2B5EF4-FFF2-40B4-BE49-F238E27FC236}">
              <a16:creationId xmlns:a16="http://schemas.microsoft.com/office/drawing/2014/main" id="{2C498EE8-24F4-443D-A9E0-80B84E17BD5A}"/>
            </a:ext>
          </a:extLst>
        </xdr:cNvPr>
        <xdr:cNvSpPr txBox="1"/>
      </xdr:nvSpPr>
      <xdr:spPr>
        <a:xfrm>
          <a:off x="7381874" y="1581150"/>
          <a:ext cx="1752601" cy="223973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race and ethnicity estimates may differ from the total estimate due to rounding.CHAS data uses a rounding protocol established by the Census Bureau. The rounding scheme is 0 remains 0,1-7 rounds to 4, 8 or greater rounds to the nearest multiple of 5.</a:t>
          </a:r>
          <a:endParaRPr lang="en-US" sz="1100"/>
        </a:p>
      </xdr:txBody>
    </xdr:sp>
    <xdr:clientData/>
  </xdr:twoCellAnchor>
  <xdr:twoCellAnchor>
    <xdr:from>
      <xdr:col>1</xdr:col>
      <xdr:colOff>45356</xdr:colOff>
      <xdr:row>70</xdr:row>
      <xdr:rowOff>39005</xdr:rowOff>
    </xdr:from>
    <xdr:to>
      <xdr:col>10</xdr:col>
      <xdr:colOff>572406</xdr:colOff>
      <xdr:row>89</xdr:row>
      <xdr:rowOff>13605</xdr:rowOff>
    </xdr:to>
    <xdr:graphicFrame macro="">
      <xdr:nvGraphicFramePr>
        <xdr:cNvPr id="3" name="Chart 2">
          <a:extLst>
            <a:ext uri="{FF2B5EF4-FFF2-40B4-BE49-F238E27FC236}">
              <a16:creationId xmlns:a16="http://schemas.microsoft.com/office/drawing/2014/main" id="{D7E7929D-AE5A-11EE-CC5D-3B192A54EEB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79375</xdr:colOff>
      <xdr:row>96</xdr:row>
      <xdr:rowOff>81641</xdr:rowOff>
    </xdr:from>
    <xdr:to>
      <xdr:col>10</xdr:col>
      <xdr:colOff>574675</xdr:colOff>
      <xdr:row>109</xdr:row>
      <xdr:rowOff>108856</xdr:rowOff>
    </xdr:to>
    <xdr:graphicFrame macro="">
      <xdr:nvGraphicFramePr>
        <xdr:cNvPr id="4" name="Chart 3">
          <a:extLst>
            <a:ext uri="{FF2B5EF4-FFF2-40B4-BE49-F238E27FC236}">
              <a16:creationId xmlns:a16="http://schemas.microsoft.com/office/drawing/2014/main" id="{27D010A1-6ACC-4FD9-AFE1-E8EBC324528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7.xml><?xml version="1.0" encoding="utf-8"?>
<xdr:wsDr xmlns:xdr="http://schemas.openxmlformats.org/drawingml/2006/spreadsheetDrawing" xmlns:a="http://schemas.openxmlformats.org/drawingml/2006/main">
  <xdr:twoCellAnchor>
    <xdr:from>
      <xdr:col>1</xdr:col>
      <xdr:colOff>0</xdr:colOff>
      <xdr:row>1</xdr:row>
      <xdr:rowOff>0</xdr:rowOff>
    </xdr:from>
    <xdr:to>
      <xdr:col>9</xdr:col>
      <xdr:colOff>0</xdr:colOff>
      <xdr:row>52</xdr:row>
      <xdr:rowOff>0</xdr:rowOff>
    </xdr:to>
    <xdr:sp macro="" textlink="">
      <xdr:nvSpPr>
        <xdr:cNvPr id="3" name="TextBox 2">
          <a:extLst>
            <a:ext uri="{FF2B5EF4-FFF2-40B4-BE49-F238E27FC236}">
              <a16:creationId xmlns:a16="http://schemas.microsoft.com/office/drawing/2014/main" id="{47BC0299-60C7-F9FC-D8EE-8CEC0F951364}"/>
            </a:ext>
          </a:extLst>
        </xdr:cNvPr>
        <xdr:cNvSpPr txBox="1"/>
      </xdr:nvSpPr>
      <xdr:spPr>
        <a:xfrm>
          <a:off x="685800" y="180975"/>
          <a:ext cx="5486400" cy="9229725"/>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hangingPunct="0"/>
          <a:r>
            <a:rPr lang="en-US" sz="1100" b="1">
              <a:solidFill>
                <a:schemeClr val="dk1"/>
              </a:solidFill>
              <a:effectLst/>
              <a:latin typeface="+mn-lt"/>
              <a:ea typeface="+mn-ea"/>
              <a:cs typeface="+mn-cs"/>
            </a:rPr>
            <a:t>2015-2019 CHAS data</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are custom tabulations of 2015-2019 ACS data, known as the CHAS, that are provided to HUD grantees for planning and analysis. The files provide information on the conditions and characteristics of housing units and households across the United States.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 data are summarized for eight levels of Census (FIPS) geography: States (040); Counties (050); County Subdivisions (060); Places split by County and County Subdivision boundaries (070); Census tracts (140); Counties split by Place boundaries (155), Places (160); and Consolidated Cities (170). Summary level 080 (split census tracts) has been phased out by Census; in the CHAS data, it has been replaced with summary level 140, which is the standard summary level for census tracts.</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At each geographic summary level there are 24 different cross-tabulations (tables). Each table is provided as a separate comma-delimited text file. Within each comma-delimited text file, there is one row for each geographic jurisdiction, and columns provide variables describing specific combinations of household characteristics and housing conditions in that jurisdiction. The columns for each table are defined in the attached data dictionary file.</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have the same structure (layout) as all CHAS data releases since 2008-2012. The full data dictionary is attached as ‘CHAS data dictionary 15-19.xlsx’. In the spreadsheet, the "All Tables" tab contains a detailed definition for every column in all the CHAS tables, spanning the 24 files provided. The columns are filterable so that the display can be limited to selected tables, columns, or household characteristics. The header columns in each table vary by geographic level. Detailed table and variable definition lists are also included in the data dictionary.</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It is important to note that column type should be used to determine whether it is acceptable to add estimates together. It is generally not appropriate to add a subtotal and a detail. For example, adding T1_est4 + T1_est5 would be double counting because the T1_est5 (detail) count is already included in the T1_est4 (subtotal) count. However, adding T1_est5 and T1_est6 would be acceptable because both are detail-level estimates.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For more information about the CHAS data, including an overview of the 24 tables, definitions of commonly used terms, and recommendations for analysis, visit the web site of HUD's Office of Policy Development and Research, at: </a:t>
          </a:r>
          <a:r>
            <a:rPr lang="en-US" sz="1100" u="sng">
              <a:solidFill>
                <a:schemeClr val="dk1"/>
              </a:solidFill>
              <a:effectLst/>
              <a:latin typeface="+mn-lt"/>
              <a:ea typeface="+mn-ea"/>
              <a:cs typeface="+mn-cs"/>
              <a:hlinkClick xmlns:r="http://schemas.openxmlformats.org/officeDocument/2006/relationships" r:id=""/>
            </a:rPr>
            <a:t>http://www.huduser.org/portal/datasets/cp.html</a:t>
          </a:r>
          <a:r>
            <a:rPr lang="en-US" sz="1100">
              <a:solidFill>
                <a:schemeClr val="dk1"/>
              </a:solidFill>
              <a:effectLst/>
              <a:latin typeface="+mn-lt"/>
              <a:ea typeface="+mn-ea"/>
              <a:cs typeface="+mn-cs"/>
            </a:rPr>
            <a:t> or </a:t>
          </a:r>
          <a:r>
            <a:rPr lang="en-US" sz="1100" u="sng">
              <a:solidFill>
                <a:schemeClr val="dk1"/>
              </a:solidFill>
              <a:effectLst/>
              <a:latin typeface="+mn-lt"/>
              <a:ea typeface="+mn-ea"/>
              <a:cs typeface="+mn-cs"/>
              <a:hlinkClick xmlns:r="http://schemas.openxmlformats.org/officeDocument/2006/relationships" r:id=""/>
            </a:rPr>
            <a:t>http://www.huduser.org/portal/datasets/cp/CHAS/bg_chas.html</a:t>
          </a:r>
          <a:endParaRPr lang="en-US" sz="1100">
            <a:solidFill>
              <a:schemeClr val="dk1"/>
            </a:solidFill>
            <a:effectLst/>
            <a:latin typeface="+mn-lt"/>
            <a:ea typeface="+mn-ea"/>
            <a:cs typeface="+mn-cs"/>
          </a:endParaRP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Table 6 is not available at summary levels 070 or 140. Those summary levels have only 23 tables.</a:t>
          </a: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Increased disclosure avoidance protections instituted by Census have resulted in some previously included estimates being suppressed, starting with the 2014-2018 ACS custom tabulations. The following tables have changes from pre-2018 releases:</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 The “Other (including multiple races, non-Hispanic)” race/ethnicity category is now suppressed. The “Cost burden cannot be computed, none of the above problems” housing unit problems category is now combined with the “Has none of the 4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2: The “Other (including multiple races, non-Hispanic)” race/ethnicity category is now suppressed. The “Cost burden cannot be computed, none of the above problems” severe housing unit problems category is now combined with the “Has none of the 4 severe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7: The “Cost burden cannot be computed, none of the above problems” category is now suppressed.</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12: The “Cost burden cannot be computed, none of the above problems” category is now suppressed.</a:t>
          </a:r>
        </a:p>
        <a:p>
          <a:pPr hangingPunct="0"/>
          <a:r>
            <a:rPr lang="en-US" sz="1100">
              <a:solidFill>
                <a:schemeClr val="dk1"/>
              </a:solidFill>
              <a:effectLst/>
              <a:latin typeface="+mn-lt"/>
              <a:ea typeface="+mn-ea"/>
              <a:cs typeface="+mn-cs"/>
            </a:rPr>
            <a:t> </a:t>
          </a:r>
        </a:p>
        <a:p>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142875</xdr:colOff>
      <xdr:row>2</xdr:row>
      <xdr:rowOff>1150</xdr:rowOff>
    </xdr:from>
    <xdr:to>
      <xdr:col>10</xdr:col>
      <xdr:colOff>19050</xdr:colOff>
      <xdr:row>12</xdr:row>
      <xdr:rowOff>146538</xdr:rowOff>
    </xdr:to>
    <xdr:sp macro="" textlink="">
      <xdr:nvSpPr>
        <xdr:cNvPr id="2" name="TextBox 1">
          <a:extLst>
            <a:ext uri="{FF2B5EF4-FFF2-40B4-BE49-F238E27FC236}">
              <a16:creationId xmlns:a16="http://schemas.microsoft.com/office/drawing/2014/main" id="{E5081805-4D98-4949-85E8-2D773D3B34D6}"/>
            </a:ext>
          </a:extLst>
        </xdr:cNvPr>
        <xdr:cNvSpPr txBox="1"/>
      </xdr:nvSpPr>
      <xdr:spPr>
        <a:xfrm>
          <a:off x="142875" y="401688"/>
          <a:ext cx="6411790" cy="190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compiles statistics to support jurisdictions' analysis of racially disparate impacts in their community. </a:t>
          </a:r>
          <a:r>
            <a:rPr lang="en-US" sz="1100">
              <a:solidFill>
                <a:schemeClr val="dk1"/>
              </a:solidFill>
              <a:effectLst/>
              <a:latin typeface="+mn-lt"/>
              <a:ea typeface="+mn-ea"/>
              <a:cs typeface="+mn-cs"/>
            </a:rPr>
            <a:t>The tool provides </a:t>
          </a:r>
          <a:r>
            <a:rPr lang="en-US" sz="1100" baseline="0">
              <a:solidFill>
                <a:schemeClr val="dk1"/>
              </a:solidFill>
              <a:effectLst/>
              <a:latin typeface="+mn-lt"/>
              <a:ea typeface="+mn-ea"/>
              <a:cs typeface="+mn-cs"/>
            </a:rPr>
            <a:t>information on community demographics and housing stock characteristics that are relevant for a housing needs assessment (HNA) and housing element of a comprehensive plan.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The tables and charts are insufficient on their own to draw a conclusion of racially disparate impacts or exclusion. </a:t>
          </a:r>
          <a:r>
            <a:rPr lang="en-US" sz="1100" b="1" baseline="0">
              <a:solidFill>
                <a:schemeClr val="dk1"/>
              </a:solidFill>
              <a:effectLst/>
              <a:latin typeface="+mn-lt"/>
              <a:ea typeface="+mn-ea"/>
              <a:cs typeface="+mn-cs"/>
            </a:rPr>
            <a:t>A complete analysis will include community engagement and additional analysis and confirmation of disparities observed in the this data. </a:t>
          </a:r>
          <a:r>
            <a:rPr lang="en-US" sz="1100" baseline="0">
              <a:solidFill>
                <a:schemeClr val="dk1"/>
              </a:solidFill>
              <a:effectLst/>
              <a:latin typeface="+mn-lt"/>
              <a:ea typeface="+mn-ea"/>
              <a:cs typeface="+mn-cs"/>
            </a:rPr>
            <a:t>Jurisdictions can annotate or adjust the tables and charts to better support interpretation and legibility by target audiences.</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161925</xdr:colOff>
      <xdr:row>14</xdr:row>
      <xdr:rowOff>23814</xdr:rowOff>
    </xdr:from>
    <xdr:to>
      <xdr:col>10</xdr:col>
      <xdr:colOff>0</xdr:colOff>
      <xdr:row>20</xdr:row>
      <xdr:rowOff>16239</xdr:rowOff>
    </xdr:to>
    <xdr:sp macro="" textlink="">
      <xdr:nvSpPr>
        <xdr:cNvPr id="3" name="TextBox 2">
          <a:extLst>
            <a:ext uri="{FF2B5EF4-FFF2-40B4-BE49-F238E27FC236}">
              <a16:creationId xmlns:a16="http://schemas.microsoft.com/office/drawing/2014/main" id="{90B1E700-A21E-42A6-9940-E4F2D111C55E}"/>
            </a:ext>
          </a:extLst>
        </xdr:cNvPr>
        <xdr:cNvSpPr txBox="1"/>
      </xdr:nvSpPr>
      <xdr:spPr>
        <a:xfrm>
          <a:off x="161925" y="2652714"/>
          <a:ext cx="6362700" cy="1078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Select the jurisdiction and the county on the "Inputs" tab. The county will provide reference data relevant to interpreting the estimates for the jurisdiction. If the jurisdiction spans more than one county, select the county that is most useful for interpreting jurisdictional estimates; for example, the county that more closely reflects the broader housing market of the jurisdiction.</a:t>
          </a:r>
        </a:p>
      </xdr:txBody>
    </xdr:sp>
    <xdr:clientData/>
  </xdr:twoCellAnchor>
  <xdr:twoCellAnchor>
    <xdr:from>
      <xdr:col>11</xdr:col>
      <xdr:colOff>192882</xdr:colOff>
      <xdr:row>2</xdr:row>
      <xdr:rowOff>47625</xdr:rowOff>
    </xdr:from>
    <xdr:to>
      <xdr:col>21</xdr:col>
      <xdr:colOff>0</xdr:colOff>
      <xdr:row>13</xdr:row>
      <xdr:rowOff>23812</xdr:rowOff>
    </xdr:to>
    <xdr:sp macro="" textlink="">
      <xdr:nvSpPr>
        <xdr:cNvPr id="4" name="TextBox 3">
          <a:hlinkClick xmlns:r="http://schemas.openxmlformats.org/officeDocument/2006/relationships" r:id="rId1"/>
          <a:extLst>
            <a:ext uri="{FF2B5EF4-FFF2-40B4-BE49-F238E27FC236}">
              <a16:creationId xmlns:a16="http://schemas.microsoft.com/office/drawing/2014/main" id="{AC5ECED9-F006-47B5-9F32-2753446EE1D3}"/>
            </a:ext>
          </a:extLst>
        </xdr:cNvPr>
        <xdr:cNvSpPr txBox="1"/>
      </xdr:nvSpPr>
      <xdr:spPr>
        <a:xfrm>
          <a:off x="7403307" y="457200"/>
          <a:ext cx="6331743" cy="19669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The</a:t>
          </a:r>
          <a:r>
            <a:rPr lang="en-US" sz="1100" baseline="0"/>
            <a:t> American Community Survey (ACS) and HUD's Comprehensive Housing Affordability Strategy (CHAS) estimates are based on a sample of the population and have sampling error. Sampling error is the difference between the sample value and the population value (if one were to survey the entire population). To help users understand the degree of sample error in a given estimate, the data sources publish a Margin of Error for every estimate. The Margin of Error allows the user to assess the reliability of the estimates.</a:t>
          </a:r>
        </a:p>
        <a:p>
          <a:pPr>
            <a:lnSpc>
              <a:spcPct val="120000"/>
            </a:lnSpc>
          </a:pPr>
          <a:endParaRPr lang="en-US" sz="1100" baseline="0"/>
        </a:p>
        <a:p>
          <a:pPr>
            <a:lnSpc>
              <a:spcPct val="120000"/>
            </a:lnSpc>
          </a:pPr>
          <a:r>
            <a:rPr lang="en-US" sz="1100" baseline="0"/>
            <a:t>This model implements guidance provided by the Washington Office of Financial Management's (OFM's) </a:t>
          </a:r>
          <a:r>
            <a:rPr lang="en-US" sz="1100" u="sng" baseline="0">
              <a:solidFill>
                <a:schemeClr val="accent6"/>
              </a:solidFill>
            </a:rPr>
            <a:t>American Community Survey User Guide </a:t>
          </a:r>
          <a:r>
            <a:rPr lang="en-US" sz="1100" baseline="0"/>
            <a:t>for testing reliability.</a:t>
          </a:r>
        </a:p>
        <a:p>
          <a:pPr>
            <a:lnSpc>
              <a:spcPct val="120000"/>
            </a:lnSpc>
          </a:pPr>
          <a:endParaRPr lang="en-US" sz="1100" baseline="0"/>
        </a:p>
      </xdr:txBody>
    </xdr:sp>
    <xdr:clientData/>
  </xdr:twoCellAnchor>
  <xdr:twoCellAnchor>
    <xdr:from>
      <xdr:col>11</xdr:col>
      <xdr:colOff>169068</xdr:colOff>
      <xdr:row>12</xdr:row>
      <xdr:rowOff>180973</xdr:rowOff>
    </xdr:from>
    <xdr:to>
      <xdr:col>21</xdr:col>
      <xdr:colOff>1</xdr:colOff>
      <xdr:row>35</xdr:row>
      <xdr:rowOff>135731</xdr:rowOff>
    </xdr:to>
    <xdr:sp macro="" textlink="">
      <xdr:nvSpPr>
        <xdr:cNvPr id="5" name="TextBox 4">
          <a:extLst>
            <a:ext uri="{FF2B5EF4-FFF2-40B4-BE49-F238E27FC236}">
              <a16:creationId xmlns:a16="http://schemas.microsoft.com/office/drawing/2014/main" id="{E91BBD81-C10C-429E-92E7-1052A5154D59}"/>
            </a:ext>
          </a:extLst>
        </xdr:cNvPr>
        <xdr:cNvSpPr txBox="1"/>
      </xdr:nvSpPr>
      <xdr:spPr>
        <a:xfrm>
          <a:off x="7379493" y="2400298"/>
          <a:ext cx="6355558" cy="43076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0" i="0">
              <a:solidFill>
                <a:schemeClr val="dk1"/>
              </a:solidFill>
              <a:effectLst/>
              <a:latin typeface="+mn-lt"/>
              <a:ea typeface="+mn-ea"/>
              <a:cs typeface="+mn-cs"/>
            </a:rPr>
            <a:t>The model includes all published estimates for the variables included in the toolkit so that each jurisdiction can review the detailed demographic data available for the jurisdiction, even when the jurisdiction may have less reliable demographic estimates due to a small population or a small number of people who identify with specific racial or ethnic groups. The model calculates the Coefficient of Variation for the population estimates for the following groups: </a:t>
          </a:r>
          <a:r>
            <a:rPr lang="en-US" sz="1100" baseline="0"/>
            <a:t/>
          </a:r>
          <a:br>
            <a:rPr lang="en-US" sz="1100" baseline="0"/>
          </a:br>
          <a:r>
            <a:rPr lang="en-US" sz="1100" baseline="0"/>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Asian </a:t>
          </a:r>
          <a:r>
            <a:rPr lang="en-US" sz="1100" baseline="0"/>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aseline="0"/>
            <a:t>Black or African American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Hispanic or Latino (of any race)</a:t>
          </a:r>
          <a:endParaRPr lang="en-US">
            <a:effectLst/>
          </a:endParaRPr>
        </a:p>
        <a:p>
          <a:pPr>
            <a:lnSpc>
              <a:spcPct val="120000"/>
            </a:lnSpc>
          </a:pPr>
          <a:r>
            <a:rPr lang="en-US" sz="1100" baseline="0">
              <a:solidFill>
                <a:schemeClr val="dk1"/>
              </a:solidFill>
              <a:effectLst/>
              <a:latin typeface="+mn-lt"/>
              <a:ea typeface="+mn-ea"/>
              <a:cs typeface="+mn-cs"/>
              <a:sym typeface="Wingdings 2" panose="05020102010507070707" pitchFamily="18" charset="2"/>
            </a:rPr>
            <a:t>	</a:t>
          </a:r>
          <a:r>
            <a:rPr lang="en-US" sz="1100" baseline="0">
              <a:solidFill>
                <a:schemeClr val="dk1"/>
              </a:solidFill>
              <a:effectLst/>
              <a:latin typeface="+mn-lt"/>
              <a:ea typeface="+mn-ea"/>
              <a:cs typeface="+mn-cs"/>
            </a:rPr>
            <a:t> White </a:t>
          </a:r>
        </a:p>
        <a:p>
          <a:pPr>
            <a:lnSpc>
              <a:spcPct val="120000"/>
            </a:lnSpc>
          </a:pPr>
          <a:r>
            <a:rPr lang="en-US" sz="1100" b="0" i="0">
              <a:solidFill>
                <a:schemeClr val="dk1"/>
              </a:solidFill>
              <a:effectLst/>
              <a:latin typeface="+mn-lt"/>
              <a:ea typeface="+mn-ea"/>
              <a:cs typeface="+mn-cs"/>
            </a:rPr>
            <a:t>There are</a:t>
          </a:r>
          <a:r>
            <a:rPr lang="en-US" sz="1100" b="0" i="0" baseline="0">
              <a:solidFill>
                <a:schemeClr val="dk1"/>
              </a:solidFill>
              <a:effectLst/>
              <a:latin typeface="+mn-lt"/>
              <a:ea typeface="+mn-ea"/>
              <a:cs typeface="+mn-cs"/>
            </a:rPr>
            <a:t> no steadfast rules as to what constitutes a reliable estimate. Long range planning often tolerates a range of estimates for informing long range targets. For many jurisdictions, there are no alternative data sources that could provide more reliable data. OFM recommends the following classification scheme for assessing the reliability of an ACS estimate: </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good (CV &lt;= 15%)</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fair (15% &gt; CV &lt;=30%)</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use with caution (CV &gt; 30%)</a:t>
          </a: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The model uses a default Coefficient of Variation threshold of 30% to indicate</a:t>
          </a:r>
          <a:r>
            <a:rPr lang="en-US" sz="1100" b="1" i="0" baseline="0">
              <a:solidFill>
                <a:schemeClr val="dk1"/>
              </a:solidFill>
              <a:effectLst/>
              <a:latin typeface="+mn-lt"/>
              <a:ea typeface="+mn-ea"/>
              <a:cs typeface="+mn-cs"/>
            </a:rPr>
            <a:t> that some estimates may have low reliability.</a:t>
          </a:r>
          <a:r>
            <a:rPr lang="en-US" sz="1100" b="0" i="0" baseline="0">
              <a:solidFill>
                <a:schemeClr val="dk1"/>
              </a:solidFill>
              <a:effectLst/>
              <a:latin typeface="+mn-lt"/>
              <a:ea typeface="+mn-ea"/>
              <a:cs typeface="+mn-cs"/>
            </a:rPr>
            <a:t> When an estimate has a CV higher than the threshold, the model includes a warning and recommends</a:t>
          </a:r>
          <a:r>
            <a:rPr lang="en-US" sz="1100" b="0" i="0">
              <a:solidFill>
                <a:schemeClr val="dk1"/>
              </a:solidFill>
              <a:effectLst/>
              <a:latin typeface="+mn-lt"/>
              <a:ea typeface="+mn-ea"/>
              <a:cs typeface="+mn-cs"/>
            </a:rPr>
            <a:t> the user use the less detailed charts for the RDI analysis. You</a:t>
          </a:r>
          <a:r>
            <a:rPr lang="en-US" sz="1100" b="0" i="0" baseline="0">
              <a:solidFill>
                <a:schemeClr val="dk1"/>
              </a:solidFill>
              <a:effectLst/>
              <a:latin typeface="+mn-lt"/>
              <a:ea typeface="+mn-ea"/>
              <a:cs typeface="+mn-cs"/>
            </a:rPr>
            <a:t> can adjust the CV threshold on the Inputs tab.</a:t>
          </a:r>
        </a:p>
        <a:p>
          <a:pPr>
            <a:lnSpc>
              <a:spcPct val="120000"/>
            </a:lnSpc>
          </a:pPr>
          <a:endParaRPr lang="en-US" sz="1100" baseline="0"/>
        </a:p>
      </xdr:txBody>
    </xdr:sp>
    <xdr:clientData/>
  </xdr:twoCellAnchor>
  <xdr:twoCellAnchor>
    <xdr:from>
      <xdr:col>0</xdr:col>
      <xdr:colOff>180975</xdr:colOff>
      <xdr:row>37</xdr:row>
      <xdr:rowOff>76201</xdr:rowOff>
    </xdr:from>
    <xdr:to>
      <xdr:col>10</xdr:col>
      <xdr:colOff>19050</xdr:colOff>
      <xdr:row>41</xdr:row>
      <xdr:rowOff>76201</xdr:rowOff>
    </xdr:to>
    <xdr:sp macro="" textlink="">
      <xdr:nvSpPr>
        <xdr:cNvPr id="6" name="TextBox 5">
          <a:extLst>
            <a:ext uri="{FF2B5EF4-FFF2-40B4-BE49-F238E27FC236}">
              <a16:creationId xmlns:a16="http://schemas.microsoft.com/office/drawing/2014/main" id="{053EDF5B-8D5C-46A0-8251-6C6BDFAFBFC2}"/>
            </a:ext>
          </a:extLst>
        </xdr:cNvPr>
        <xdr:cNvSpPr txBox="1"/>
      </xdr:nvSpPr>
      <xdr:spPr>
        <a:xfrm>
          <a:off x="180975" y="7058026"/>
          <a:ext cx="6362700" cy="723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a:t>
          </a:r>
          <a:r>
            <a:rPr lang="en-US" sz="1100" baseline="0"/>
            <a:t> model relies on estimates published by the U.S. Census Bureau and the Department of Housing and Urban Development (HUD). All estimates are based on data collected by the U.S. Census Bureau, which classifies people into distinct race and ethnicity categories. </a:t>
          </a:r>
        </a:p>
      </xdr:txBody>
    </xdr:sp>
    <xdr:clientData/>
  </xdr:twoCellAnchor>
  <xdr:twoCellAnchor>
    <xdr:from>
      <xdr:col>0</xdr:col>
      <xdr:colOff>636270</xdr:colOff>
      <xdr:row>41</xdr:row>
      <xdr:rowOff>38097</xdr:rowOff>
    </xdr:from>
    <xdr:to>
      <xdr:col>9</xdr:col>
      <xdr:colOff>544829</xdr:colOff>
      <xdr:row>60</xdr:row>
      <xdr:rowOff>105832</xdr:rowOff>
    </xdr:to>
    <xdr:sp macro="" textlink="">
      <xdr:nvSpPr>
        <xdr:cNvPr id="7" name="TextBox 6">
          <a:extLst>
            <a:ext uri="{FF2B5EF4-FFF2-40B4-BE49-F238E27FC236}">
              <a16:creationId xmlns:a16="http://schemas.microsoft.com/office/drawing/2014/main" id="{8210B047-61F6-47AA-BB29-988A4EB98141}"/>
            </a:ext>
          </a:extLst>
        </xdr:cNvPr>
        <xdr:cNvSpPr txBox="1"/>
      </xdr:nvSpPr>
      <xdr:spPr>
        <a:xfrm>
          <a:off x="636270" y="7732180"/>
          <a:ext cx="5782309" cy="34438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1"/>
            <a:t>Race</a:t>
          </a:r>
          <a:r>
            <a:rPr lang="en-US" sz="1100"/>
            <a:t> is a social identity, with history rooted in oppression and exploitation of people not classified as "white". The Census offers six racial identities for people to choose from. Respondents</a:t>
          </a:r>
          <a:r>
            <a:rPr lang="en-US" sz="1100" baseline="0"/>
            <a:t> self-identify. S</a:t>
          </a:r>
          <a:r>
            <a:rPr lang="en-US" sz="1100"/>
            <a:t>ince</a:t>
          </a:r>
          <a:r>
            <a:rPr lang="en-US" sz="1100" baseline="0"/>
            <a:t> the</a:t>
          </a:r>
          <a:r>
            <a:rPr lang="en-US" sz="1100"/>
            <a:t> 2000</a:t>
          </a:r>
          <a:r>
            <a:rPr lang="en-US" sz="1100" baseline="0"/>
            <a:t> census, </a:t>
          </a:r>
          <a:r>
            <a:rPr lang="en-US" sz="1100"/>
            <a:t>respondents can self-identify as one or more options.</a:t>
          </a:r>
          <a:r>
            <a:rPr lang="en-US" sz="1100" baseline="0"/>
            <a:t> The options provided are: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t/>
          </a:r>
          <a:br>
            <a:rPr lang="en-US" sz="1100" baseline="0"/>
          </a:br>
          <a:r>
            <a:rPr lang="en-US" sz="1100" baseline="0"/>
            <a:t>            </a:t>
          </a:r>
          <a:r>
            <a:rPr lang="en-US" sz="1100" baseline="0">
              <a:sym typeface="Wingdings 2" panose="05020102010507070707" pitchFamily="18" charset="2"/>
            </a:rPr>
            <a:t> </a:t>
          </a:r>
          <a:r>
            <a:rPr lang="en-US" sz="1100"/>
            <a:t>White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Black or African American</a:t>
          </a:r>
          <a:br>
            <a:rPr lang="en-US" sz="1100"/>
          </a:b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American Indian and Alaska Native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Asian</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a:t>
          </a:r>
          <a:r>
            <a:rPr lang="en-US" sz="1100" baseline="0">
              <a:sym typeface="Wingdings 2" panose="05020102010507070707" pitchFamily="18" charset="2"/>
            </a:rPr>
            <a:t> </a:t>
          </a:r>
          <a:r>
            <a:rPr lang="en-US" sz="1100"/>
            <a:t>Native Hawaiian and Other Pacific Islander, and </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Other</a:t>
          </a:r>
        </a:p>
        <a:p>
          <a:pPr marL="0" marR="0" lvl="0" indent="0" defTabSz="914400" eaLnBrk="1" fontAlgn="auto" latinLnBrk="0" hangingPunct="1">
            <a:lnSpc>
              <a:spcPct val="120000"/>
            </a:lnSpc>
            <a:spcBef>
              <a:spcPts val="0"/>
            </a:spcBef>
            <a:spcAft>
              <a:spcPts val="0"/>
            </a:spcAft>
            <a:buClrTx/>
            <a:buSzTx/>
            <a:buFontTx/>
            <a:buNone/>
            <a:tabLst/>
            <a:defRPr/>
          </a:pPr>
          <a:r>
            <a:rPr lang="en-US" sz="1100" b="1"/>
            <a:t>Ethnicity</a:t>
          </a:r>
          <a:r>
            <a:rPr lang="en-US" sz="1100"/>
            <a:t> refers to groups of people who share common ancestry, language, or dialect. There is a wide range of ethnic identities, which may or may not tie to nationality. The Census asks respondents to identify as either Hispanic or Latino or Not</a:t>
          </a:r>
          <a:r>
            <a:rPr lang="en-US" sz="1100" baseline="0"/>
            <a:t> </a:t>
          </a:r>
          <a:r>
            <a:rPr lang="en-US" sz="1100"/>
            <a:t>Hispanic or Latino. The Office of Management and Budget</a:t>
          </a:r>
          <a:r>
            <a:rPr lang="en-US" sz="1100" baseline="0"/>
            <a:t> defines "Hispanic or Latino" as a person of Cuban, Mexican, Puerto Rican, South or Central American or other Spanish culture or origin regardless of race. </a:t>
          </a:r>
          <a:endParaRPr lang="en-US" sz="1100"/>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209550</xdr:colOff>
      <xdr:row>60</xdr:row>
      <xdr:rowOff>99057</xdr:rowOff>
    </xdr:from>
    <xdr:to>
      <xdr:col>10</xdr:col>
      <xdr:colOff>20955</xdr:colOff>
      <xdr:row>99</xdr:row>
      <xdr:rowOff>158750</xdr:rowOff>
    </xdr:to>
    <xdr:sp macro="" textlink="">
      <xdr:nvSpPr>
        <xdr:cNvPr id="13" name="TextBox 12">
          <a:extLst>
            <a:ext uri="{FF2B5EF4-FFF2-40B4-BE49-F238E27FC236}">
              <a16:creationId xmlns:a16="http://schemas.microsoft.com/office/drawing/2014/main" id="{A8F746D9-2ACD-4123-A27E-7DF66C631BC0}"/>
            </a:ext>
          </a:extLst>
        </xdr:cNvPr>
        <xdr:cNvSpPr txBox="1"/>
      </xdr:nvSpPr>
      <xdr:spPr>
        <a:xfrm>
          <a:off x="209550" y="10973432"/>
          <a:ext cx="6304280" cy="68700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t>Reliability testing found that the categories of American Indian and Alaska Native, Native Hawaiian and Other Pacific Islander, and Other, as well as two or more races, consistently had Coefficient of Variations that indicated unreliable estimates due to sampling error associated with small populations. To strike a balance of providing the greatest data resolution while pre-formatting the best available data into charts, the model uses a simplified classification system:</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Asian</a:t>
          </a:r>
          <a:r>
            <a:rPr lang="en-US" sz="1100" baseline="0">
              <a:solidFill>
                <a:schemeClr val="dk1"/>
              </a:solidFill>
              <a:effectLst/>
              <a:latin typeface="+mn-lt"/>
              <a:ea typeface="+mn-ea"/>
              <a:cs typeface="+mn-cs"/>
            </a:rPr>
            <a:t> includes people who self-identify as Asian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Black or African American </a:t>
          </a:r>
          <a:r>
            <a:rPr lang="en-US" sz="1100" baseline="0">
              <a:solidFill>
                <a:schemeClr val="dk1"/>
              </a:solidFill>
              <a:effectLst/>
              <a:latin typeface="+mn-lt"/>
              <a:ea typeface="+mn-ea"/>
              <a:cs typeface="+mn-cs"/>
            </a:rPr>
            <a:t>includes people who self-identify as Black or African 	   American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identify as Hispanic or</a:t>
          </a:r>
        </a:p>
        <a:p>
          <a:pPr>
            <a:lnSpc>
              <a:spcPct val="120000"/>
            </a:lnSpc>
          </a:pPr>
          <a:r>
            <a:rPr lang="en-US" sz="1100" baseline="0">
              <a:solidFill>
                <a:schemeClr val="dk1"/>
              </a:solidFill>
              <a:effectLst/>
              <a:latin typeface="+mn-lt"/>
              <a:ea typeface="+mn-ea"/>
              <a:cs typeface="+mn-cs"/>
            </a:rPr>
            <a:t>	   Latino regardless of race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1" baseline="0">
              <a:solidFill>
                <a:schemeClr val="dk1"/>
              </a:solidFill>
              <a:effectLst/>
              <a:latin typeface="+mn-lt"/>
              <a:ea typeface="+mn-ea"/>
              <a:cs typeface="+mn-cs"/>
              <a:sym typeface="Wingdings 2" panose="05020102010507070707" pitchFamily="18" charset="2"/>
            </a:rPr>
            <a:t> Other Race </a:t>
          </a:r>
          <a:r>
            <a:rPr lang="en-US" sz="1100" baseline="0">
              <a:solidFill>
                <a:schemeClr val="dk1"/>
              </a:solidFill>
              <a:effectLst/>
              <a:latin typeface="+mn-lt"/>
              <a:ea typeface="+mn-ea"/>
              <a:cs typeface="+mn-cs"/>
              <a:sym typeface="Wingdings 2" panose="05020102010507070707" pitchFamily="18" charset="2"/>
            </a:rPr>
            <a:t>includes people that self-identify as American Indian and Alaska</a:t>
          </a:r>
        </a:p>
        <a:p>
          <a:pPr>
            <a:lnSpc>
              <a:spcPct val="120000"/>
            </a:lnSpc>
          </a:pPr>
          <a:r>
            <a:rPr lang="en-US" sz="1100" baseline="0">
              <a:solidFill>
                <a:schemeClr val="dk1"/>
              </a:solidFill>
              <a:effectLst/>
              <a:latin typeface="+mn-lt"/>
              <a:ea typeface="+mn-ea"/>
              <a:cs typeface="+mn-cs"/>
              <a:sym typeface="Wingdings 2" panose="05020102010507070707" pitchFamily="18" charset="2"/>
            </a:rPr>
            <a:t>	   Native, Native Hawaiian and Other Pacific Islander, another race (Other), and 	   Two or More Races and are Not Hispanic or Latino</a:t>
          </a:r>
          <a:endParaRPr lang="en-US">
            <a:effectLst/>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a:t>
          </a:r>
          <a:r>
            <a:rPr lang="en-US" sz="1100" baseline="0">
              <a:solidFill>
                <a:schemeClr val="dk1"/>
              </a:solidFill>
              <a:effectLst/>
              <a:latin typeface="+mn-lt"/>
              <a:ea typeface="+mn-ea"/>
              <a:cs typeface="+mn-cs"/>
            </a:rPr>
            <a:t> includes people who self-identify as White and Not Hispanic or Latino</a:t>
          </a:r>
        </a:p>
        <a:p>
          <a:pPr>
            <a:lnSpc>
              <a:spcPct val="120000"/>
            </a:lnSpc>
          </a:pPr>
          <a:endParaRPr lang="en-US" sz="1100" baseline="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 The charts use the following classification system.</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self-identify as Hispanic </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or Latino of any race. This includes people who are White, Hispanic or Latino, 	   Black, Hispanic or Latino, and so on.</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Persons of Color </a:t>
          </a:r>
          <a:r>
            <a:rPr lang="en-US" sz="1100" baseline="0">
              <a:solidFill>
                <a:schemeClr val="dk1"/>
              </a:solidFill>
              <a:effectLst/>
              <a:latin typeface="+mn-lt"/>
              <a:ea typeface="+mn-ea"/>
              <a:cs typeface="+mn-cs"/>
            </a:rPr>
            <a:t>includes people that self-identify as </a:t>
          </a:r>
          <a:r>
            <a:rPr lang="en-US" sz="1100" b="0" baseline="0">
              <a:solidFill>
                <a:schemeClr val="dk1"/>
              </a:solidFill>
              <a:effectLst/>
              <a:latin typeface="+mn-lt"/>
              <a:ea typeface="+mn-ea"/>
              <a:cs typeface="+mn-cs"/>
            </a:rPr>
            <a:t>Asian, Black or African 	   American, American Indian and Alaskan Native, Native Hawaiian and Other 	   Pacific Islander, another race (Other), and Two </a:t>
          </a:r>
          <a:r>
            <a:rPr lang="en-US" sz="1100" baseline="0">
              <a:solidFill>
                <a:schemeClr val="dk1"/>
              </a:solidFill>
              <a:effectLst/>
              <a:latin typeface="+mn-lt"/>
              <a:ea typeface="+mn-ea"/>
              <a:cs typeface="+mn-cs"/>
            </a:rPr>
            <a:t>or More Races and are Not 	   Hispanic or Latino.</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 </a:t>
          </a:r>
          <a:r>
            <a:rPr lang="en-US" sz="1100" baseline="0">
              <a:solidFill>
                <a:schemeClr val="dk1"/>
              </a:solidFill>
              <a:effectLst/>
              <a:latin typeface="+mn-lt"/>
              <a:ea typeface="+mn-ea"/>
              <a:cs typeface="+mn-cs"/>
            </a:rPr>
            <a:t>includes people who identify as White and Not Hispanic or Latino.</a:t>
          </a:r>
        </a:p>
        <a:p>
          <a:pPr marL="0" indent="0">
            <a:lnSpc>
              <a:spcPct val="120000"/>
            </a:lnSpc>
          </a:pPr>
          <a:endParaRPr lang="en-US" sz="1100" baseline="0">
            <a:solidFill>
              <a:schemeClr val="dk1"/>
            </a:solidFill>
            <a:effectLst/>
            <a:latin typeface="+mn-lt"/>
            <a:ea typeface="+mn-ea"/>
            <a:cs typeface="+mn-cs"/>
          </a:endParaRPr>
        </a:p>
        <a:p>
          <a:pPr marL="0" indent="0">
            <a:lnSpc>
              <a:spcPct val="120000"/>
            </a:lnSpc>
          </a:pPr>
          <a:r>
            <a:rPr lang="en-US" sz="1100" baseline="0">
              <a:solidFill>
                <a:schemeClr val="dk1"/>
              </a:solidFill>
              <a:effectLst/>
              <a:latin typeface="+mn-lt"/>
              <a:ea typeface="+mn-ea"/>
              <a:cs typeface="+mn-cs"/>
            </a:rPr>
            <a:t>Race and ethnicity estimates are from five year observation periods including data from time periods ranging from 2010 - 2014 and 2015 - 2019 and the 2020 decennial census. Charts and tables include the specific data table name and year. </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p>
      </xdr:txBody>
    </xdr:sp>
    <xdr:clientData/>
  </xdr:twoCellAnchor>
  <xdr:twoCellAnchor>
    <xdr:from>
      <xdr:col>11</xdr:col>
      <xdr:colOff>82139</xdr:colOff>
      <xdr:row>37</xdr:row>
      <xdr:rowOff>77131</xdr:rowOff>
    </xdr:from>
    <xdr:to>
      <xdr:col>20</xdr:col>
      <xdr:colOff>550769</xdr:colOff>
      <xdr:row>100</xdr:row>
      <xdr:rowOff>50799</xdr:rowOff>
    </xdr:to>
    <xdr:sp macro="" textlink="">
      <xdr:nvSpPr>
        <xdr:cNvPr id="8" name="TextBox 7">
          <a:extLst>
            <a:ext uri="{FF2B5EF4-FFF2-40B4-BE49-F238E27FC236}">
              <a16:creationId xmlns:a16="http://schemas.microsoft.com/office/drawing/2014/main" id="{F4C1E9D6-9305-4851-A63D-C7CFCA9FB9F9}"/>
            </a:ext>
          </a:extLst>
        </xdr:cNvPr>
        <xdr:cNvSpPr txBox="1"/>
      </xdr:nvSpPr>
      <xdr:spPr>
        <a:xfrm>
          <a:off x="7257639" y="6919256"/>
          <a:ext cx="6326505" cy="109909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1" i="0">
              <a:solidFill>
                <a:schemeClr val="dk1"/>
              </a:solidFill>
              <a:effectLst/>
              <a:latin typeface="+mn-lt"/>
              <a:ea typeface="+mn-ea"/>
              <a:cs typeface="+mn-cs"/>
            </a:rPr>
            <a:t>Income and</a:t>
          </a:r>
          <a:r>
            <a:rPr lang="en-US" sz="1100" b="1" i="0" baseline="0">
              <a:solidFill>
                <a:schemeClr val="dk1"/>
              </a:solidFill>
              <a:effectLst/>
              <a:latin typeface="+mn-lt"/>
              <a:ea typeface="+mn-ea"/>
              <a:cs typeface="+mn-cs"/>
            </a:rPr>
            <a:t> Area Median Income (AMI)</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To</a:t>
          </a:r>
          <a:r>
            <a:rPr lang="en-US" sz="1100" b="0" i="0" baseline="0">
              <a:solidFill>
                <a:schemeClr val="dk1"/>
              </a:solidFill>
              <a:effectLst/>
              <a:latin typeface="+mn-lt"/>
              <a:ea typeface="+mn-ea"/>
              <a:cs typeface="+mn-cs"/>
            </a:rPr>
            <a:t> account for regional variation in labor and housing markets, the analysis uses area median income (AMI). AMI represents the </a:t>
          </a:r>
          <a:r>
            <a:rPr lang="en-US" sz="1100" b="0" i="0">
              <a:solidFill>
                <a:schemeClr val="dk1"/>
              </a:solidFill>
              <a:effectLst/>
              <a:latin typeface="+mn-lt"/>
              <a:ea typeface="+mn-ea"/>
              <a:cs typeface="+mn-cs"/>
            </a:rPr>
            <a:t>midpoint of an</a:t>
          </a:r>
          <a:r>
            <a:rPr lang="en-US" sz="1100" b="0" i="0" baseline="0">
              <a:solidFill>
                <a:schemeClr val="dk1"/>
              </a:solidFill>
              <a:effectLst/>
              <a:latin typeface="+mn-lt"/>
              <a:ea typeface="+mn-ea"/>
              <a:cs typeface="+mn-cs"/>
            </a:rPr>
            <a:t> area's</a:t>
          </a:r>
          <a:r>
            <a:rPr lang="en-US" sz="1100" b="0" i="0">
              <a:solidFill>
                <a:schemeClr val="dk1"/>
              </a:solidFill>
              <a:effectLst/>
              <a:latin typeface="+mn-lt"/>
              <a:ea typeface="+mn-ea"/>
              <a:cs typeface="+mn-cs"/>
            </a:rPr>
            <a:t> income distribution.</a:t>
          </a:r>
          <a:r>
            <a:rPr lang="en-US" sz="1100" b="0" i="0" baseline="0">
              <a:solidFill>
                <a:schemeClr val="dk1"/>
              </a:solidFill>
              <a:effectLst/>
              <a:latin typeface="+mn-lt"/>
              <a:ea typeface="+mn-ea"/>
              <a:cs typeface="+mn-cs"/>
            </a:rPr>
            <a:t> Fifty percent (50%) of households have an income higher than area median income and 50% have an income lower than the AMI. The Growth Management Act requires jurisdictions to account for the housing needs of households across the income spectrum. </a:t>
          </a:r>
        </a:p>
        <a:p>
          <a:pPr>
            <a:lnSpc>
              <a:spcPct val="120000"/>
            </a:lnSpc>
          </a:pPr>
          <a:endParaRPr lang="en-US" sz="1100" b="0" i="0" baseline="0">
            <a:solidFill>
              <a:schemeClr val="dk1"/>
            </a:solidFill>
            <a:effectLst/>
            <a:latin typeface="+mn-lt"/>
            <a:ea typeface="+mn-ea"/>
            <a:cs typeface="+mn-cs"/>
          </a:endParaRPr>
        </a:p>
        <a:p>
          <a:pPr>
            <a:lnSpc>
              <a:spcPct val="120000"/>
            </a:lnSpc>
          </a:pPr>
          <a:r>
            <a:rPr lang="en-US" sz="1100" b="0" i="0" baseline="0">
              <a:solidFill>
                <a:schemeClr val="dk1"/>
              </a:solidFill>
              <a:effectLst/>
              <a:latin typeface="+mn-lt"/>
              <a:ea typeface="+mn-ea"/>
              <a:cs typeface="+mn-cs"/>
            </a:rPr>
            <a:t>Income data and housing affordability estimates are provided by US Housing and Urban Development's Comprehensive Housing Affordability Strategy (CHAS) data. Household income estimates are for the number of households with a household income up to a threshold based on a percentage of the area median income, with adjustments based on household size. The income bins are:  </a:t>
          </a:r>
          <a:br>
            <a:rPr lang="en-US" sz="1100" b="0" i="0" baseline="0">
              <a:solidFill>
                <a:schemeClr val="dk1"/>
              </a:solidFill>
              <a:effectLst/>
              <a:latin typeface="+mn-lt"/>
              <a:ea typeface="+mn-ea"/>
              <a:cs typeface="+mn-cs"/>
            </a:rPr>
          </a:b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Extremely</a:t>
          </a:r>
          <a:r>
            <a:rPr lang="en-US" sz="1100" b="0" i="0" baseline="0">
              <a:solidFill>
                <a:schemeClr val="dk1"/>
              </a:solidFill>
              <a:effectLst/>
              <a:latin typeface="+mn-lt"/>
              <a:ea typeface="+mn-ea"/>
              <a:cs typeface="+mn-cs"/>
            </a:rPr>
            <a:t> Low Income (&lt;30%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Very Low Income (30% - 50%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Low Income (50% - 80% of AMI)</a:t>
          </a: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Moderate Income (80% - 100%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Above Median Income (&gt;100% of AMI)</a:t>
          </a:r>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Rental</a:t>
          </a:r>
          <a:r>
            <a:rPr lang="en-US" sz="1100" b="1" i="0" baseline="0">
              <a:solidFill>
                <a:schemeClr val="dk1"/>
              </a:solidFill>
              <a:effectLst/>
              <a:latin typeface="+mn-lt"/>
              <a:ea typeface="+mn-ea"/>
              <a:cs typeface="+mn-cs"/>
            </a:rPr>
            <a:t> Affordability</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In addition to estimates</a:t>
          </a:r>
          <a:r>
            <a:rPr lang="en-US" sz="1100" b="0" i="0" baseline="0">
              <a:solidFill>
                <a:schemeClr val="dk1"/>
              </a:solidFill>
              <a:effectLst/>
              <a:latin typeface="+mn-lt"/>
              <a:ea typeface="+mn-ea"/>
              <a:cs typeface="+mn-cs"/>
            </a:rPr>
            <a:t> of households within an income range, CHAS data also provides estimates of the number of rental housing units affordable to households with incomes within the income range. A housing unit is considered affordable if gross housing costs are less than 30% of a household's income. The estimates are based on self-reported housing costs. Since self-reported housing costs reflect the costs to the household, the housing unit estimates reflect all the housing subsidies or other benefits in use in the area. A rental unit affordable to a household with an extremely low income (&lt;30% of AMI) may or may not be occupied by a household in that income range. The rental affordability estimates use the corresponding household income thresholds: </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&lt;30% AMI </a:t>
          </a:r>
          <a:r>
            <a:rPr lang="en-US" sz="1100" b="0" i="0" baseline="0">
              <a:solidFill>
                <a:schemeClr val="dk1"/>
              </a:solidFill>
              <a:effectLst/>
              <a:latin typeface="+mn-lt"/>
              <a:ea typeface="+mn-ea"/>
              <a:cs typeface="+mn-cs"/>
            </a:rPr>
            <a:t>includes housing units that are affordable to a household </a:t>
          </a:r>
        </a:p>
        <a:p>
          <a:pPr>
            <a:lnSpc>
              <a:spcPct val="120000"/>
            </a:lnSpc>
          </a:pPr>
          <a:r>
            <a:rPr lang="en-US" sz="1100" b="0" i="0" baseline="0">
              <a:solidFill>
                <a:schemeClr val="dk1"/>
              </a:solidFill>
              <a:effectLst/>
              <a:latin typeface="+mn-lt"/>
              <a:ea typeface="+mn-ea"/>
              <a:cs typeface="+mn-cs"/>
            </a:rPr>
            <a:t>	    with an income up to 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30 - 50% AMI </a:t>
          </a:r>
          <a:r>
            <a:rPr lang="en-US" sz="1100" b="0" i="0" baseline="0">
              <a:solidFill>
                <a:schemeClr val="dk1"/>
              </a:solidFill>
              <a:effectLst/>
              <a:latin typeface="+mn-lt"/>
              <a:ea typeface="+mn-ea"/>
              <a:cs typeface="+mn-cs"/>
            </a:rPr>
            <a:t>includes </a:t>
          </a:r>
          <a:r>
            <a:rPr lang="en-US"/>
            <a:t>housing units that are </a:t>
          </a:r>
          <a:r>
            <a:rPr lang="en-US" baseline="0"/>
            <a:t>affordable to a household with 	   an income between 30% and 50%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50% - 80% </a:t>
          </a:r>
          <a:r>
            <a:rPr lang="en-US" sz="1100" b="0" i="0" baseline="0">
              <a:solidFill>
                <a:schemeClr val="dk1"/>
              </a:solidFill>
              <a:effectLst/>
              <a:latin typeface="+mn-lt"/>
              <a:ea typeface="+mn-ea"/>
              <a:cs typeface="+mn-cs"/>
            </a:rPr>
            <a:t>inlcudes </a:t>
          </a:r>
          <a:r>
            <a:rPr lang="en-US" sz="1100" baseline="0">
              <a:solidFill>
                <a:schemeClr val="dk1"/>
              </a:solidFill>
              <a:effectLst/>
              <a:latin typeface="+mn-lt"/>
              <a:ea typeface="+mn-ea"/>
              <a:cs typeface="+mn-cs"/>
            </a:rPr>
            <a:t>housing units that are </a:t>
          </a:r>
          <a:r>
            <a:rPr lang="en-US" baseline="0"/>
            <a:t>affordable to a household with an 	   income between 50% and 80%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&gt;80% AMI </a:t>
          </a:r>
          <a:r>
            <a:rPr lang="en-US" sz="1100" b="0" i="0" baseline="0">
              <a:solidFill>
                <a:schemeClr val="dk1"/>
              </a:solidFill>
              <a:effectLst/>
              <a:latin typeface="+mn-lt"/>
              <a:ea typeface="+mn-ea"/>
              <a:cs typeface="+mn-cs"/>
            </a:rPr>
            <a:t>includes </a:t>
          </a:r>
          <a:r>
            <a:rPr lang="en-US"/>
            <a:t>housing</a:t>
          </a:r>
          <a:r>
            <a:rPr lang="en-US" baseline="0"/>
            <a:t> units that are </a:t>
          </a:r>
          <a:r>
            <a:rPr lang="en-US"/>
            <a:t>affordable</a:t>
          </a:r>
          <a:r>
            <a:rPr lang="en-US" baseline="0"/>
            <a:t> to a household with an	    income greater than 80% of AMI.</a:t>
          </a:r>
        </a:p>
        <a:p>
          <a:pPr>
            <a:lnSpc>
              <a:spcPct val="120000"/>
            </a:lnSpc>
          </a:pPr>
          <a:endParaRPr lang="en-US" baseline="0"/>
        </a:p>
        <a:p>
          <a:pPr>
            <a:lnSpc>
              <a:spcPct val="120000"/>
            </a:lnSpc>
          </a:pPr>
          <a:r>
            <a:rPr lang="en-US" baseline="0"/>
            <a:t>Rental unit affordability estimates exclude housing units without complete kitchen or plumbing facilities, as well as vacant units that are not listed as either for rent or for sale and group quarter units.</a:t>
          </a:r>
        </a:p>
        <a:p>
          <a:pPr>
            <a:lnSpc>
              <a:spcPct val="120000"/>
            </a:lnSpc>
          </a:pPr>
          <a:endParaRPr lang="en-US"/>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Housing Cost Burden</a:t>
          </a:r>
        </a:p>
        <a:p>
          <a:pPr>
            <a:lnSpc>
              <a:spcPct val="120000"/>
            </a:lnSpc>
          </a:pPr>
          <a:r>
            <a:rPr lang="en-US" sz="1100" b="0" i="0">
              <a:solidFill>
                <a:schemeClr val="dk1"/>
              </a:solidFill>
              <a:effectLst/>
              <a:latin typeface="+mn-lt"/>
              <a:ea typeface="+mn-ea"/>
              <a:cs typeface="+mn-cs"/>
            </a:rPr>
            <a:t>A household</a:t>
          </a:r>
          <a:r>
            <a:rPr lang="en-US" sz="1100" b="0" i="0" baseline="0">
              <a:solidFill>
                <a:schemeClr val="dk1"/>
              </a:solidFill>
              <a:effectLst/>
              <a:latin typeface="+mn-lt"/>
              <a:ea typeface="+mn-ea"/>
              <a:cs typeface="+mn-cs"/>
            </a:rPr>
            <a:t> experiencing </a:t>
          </a:r>
          <a:r>
            <a:rPr lang="en-US" sz="1100" b="0" i="0">
              <a:solidFill>
                <a:schemeClr val="dk1"/>
              </a:solidFill>
              <a:effectLst/>
              <a:latin typeface="+mn-lt"/>
              <a:ea typeface="+mn-ea"/>
              <a:cs typeface="+mn-cs"/>
            </a:rPr>
            <a:t>housing</a:t>
          </a:r>
          <a:r>
            <a:rPr lang="en-US" sz="1100" b="0" i="0" baseline="0">
              <a:solidFill>
                <a:schemeClr val="dk1"/>
              </a:solidFill>
              <a:effectLst/>
              <a:latin typeface="+mn-lt"/>
              <a:ea typeface="+mn-ea"/>
              <a:cs typeface="+mn-cs"/>
            </a:rPr>
            <a:t> cost burden is paying more for housing than it can afford based on income. This means one or multiple of a houses' critical needs (i.e., food, physical health, mental health, education, and/or general well-being are not being met. A household is considered cost-burdened if its monthly housing costs are greater than 30% of its monthly income. Estimates of households experiencing cost-burden include: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Not cost-burdened</a:t>
          </a:r>
          <a:r>
            <a:rPr lang="en-US" sz="1100" b="0" i="0" baseline="0">
              <a:solidFill>
                <a:schemeClr val="dk1"/>
              </a:solidFill>
              <a:effectLst/>
              <a:latin typeface="+mn-lt"/>
              <a:ea typeface="+mn-ea"/>
              <a:cs typeface="+mn-cs"/>
            </a:rPr>
            <a:t> includes households paying less than 30% of their household 	   income on housing costs.</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Cost-burdened (30-50%) </a:t>
          </a:r>
          <a:r>
            <a:rPr lang="en-US" sz="1100" b="0" i="0" baseline="0">
              <a:solidFill>
                <a:schemeClr val="dk1"/>
              </a:solidFill>
              <a:effectLst/>
              <a:latin typeface="+mn-lt"/>
              <a:ea typeface="+mn-ea"/>
              <a:cs typeface="+mn-cs"/>
            </a:rPr>
            <a:t>includes households paying between 30%</a:t>
          </a:r>
          <a:br>
            <a:rPr lang="en-US" sz="1100" b="0" i="0" baseline="0">
              <a:solidFill>
                <a:schemeClr val="dk1"/>
              </a:solidFill>
              <a:effectLst/>
              <a:latin typeface="+mn-lt"/>
              <a:ea typeface="+mn-ea"/>
              <a:cs typeface="+mn-cs"/>
            </a:rPr>
          </a:br>
          <a:r>
            <a:rPr lang="en-US" sz="1100" b="0" i="0" baseline="0">
              <a:solidFill>
                <a:schemeClr val="dk1"/>
              </a:solidFill>
              <a:effectLst/>
              <a:latin typeface="+mn-lt"/>
              <a:ea typeface="+mn-ea"/>
              <a:cs typeface="+mn-cs"/>
            </a:rPr>
            <a:t>	   and 50% of their household income on housing.</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Severely cost-burdened (&gt;50%)</a:t>
          </a:r>
          <a:r>
            <a:rPr lang="en-US" sz="1100" b="0" i="0" baseline="0">
              <a:solidFill>
                <a:schemeClr val="dk1"/>
              </a:solidFill>
              <a:effectLst/>
              <a:latin typeface="+mn-lt"/>
              <a:ea typeface="+mn-ea"/>
              <a:cs typeface="+mn-cs"/>
            </a:rPr>
            <a:t> includes households paying more than 50% of 	    their income on housing costs.</a:t>
          </a:r>
        </a:p>
        <a:p>
          <a:pPr>
            <a:lnSpc>
              <a:spcPct val="120000"/>
            </a:lnSpc>
          </a:pPr>
          <a:endParaRPr lang="en-US" sz="1100" baseline="0"/>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2</xdr:col>
      <xdr:colOff>26550</xdr:colOff>
      <xdr:row>30</xdr:row>
      <xdr:rowOff>49910</xdr:rowOff>
    </xdr:from>
    <xdr:ext cx="6326625" cy="3657600"/>
    <xdr:graphicFrame macro="">
      <xdr:nvGraphicFramePr>
        <xdr:cNvPr id="3" name="Chart 2">
          <a:extLst>
            <a:ext uri="{FF2B5EF4-FFF2-40B4-BE49-F238E27FC236}">
              <a16:creationId xmlns:a16="http://schemas.microsoft.com/office/drawing/2014/main" id="{BE544872-8DC9-40A1-ABD3-C904FA8365F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twoCellAnchor>
    <xdr:from>
      <xdr:col>2</xdr:col>
      <xdr:colOff>14013</xdr:colOff>
      <xdr:row>87</xdr:row>
      <xdr:rowOff>72796</xdr:rowOff>
    </xdr:from>
    <xdr:to>
      <xdr:col>10</xdr:col>
      <xdr:colOff>161925</xdr:colOff>
      <xdr:row>107</xdr:row>
      <xdr:rowOff>133121</xdr:rowOff>
    </xdr:to>
    <xdr:graphicFrame macro="">
      <xdr:nvGraphicFramePr>
        <xdr:cNvPr id="4" name="Chart 3">
          <a:extLst>
            <a:ext uri="{FF2B5EF4-FFF2-40B4-BE49-F238E27FC236}">
              <a16:creationId xmlns:a16="http://schemas.microsoft.com/office/drawing/2014/main" id="{617905FC-17D0-CA09-8569-620E9D27BEE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15790</xdr:colOff>
      <xdr:row>139</xdr:row>
      <xdr:rowOff>36447</xdr:rowOff>
    </xdr:from>
    <xdr:to>
      <xdr:col>11</xdr:col>
      <xdr:colOff>19050</xdr:colOff>
      <xdr:row>159</xdr:row>
      <xdr:rowOff>91866</xdr:rowOff>
    </xdr:to>
    <xdr:graphicFrame macro="">
      <xdr:nvGraphicFramePr>
        <xdr:cNvPr id="5" name="Chart 4">
          <a:extLst>
            <a:ext uri="{FF2B5EF4-FFF2-40B4-BE49-F238E27FC236}">
              <a16:creationId xmlns:a16="http://schemas.microsoft.com/office/drawing/2014/main" id="{5044CDE1-FF4B-4F19-A0FC-D52FED9A891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2</xdr:col>
      <xdr:colOff>19049</xdr:colOff>
      <xdr:row>56</xdr:row>
      <xdr:rowOff>62864</xdr:rowOff>
    </xdr:from>
    <xdr:ext cx="6400800" cy="2286000"/>
    <xdr:graphicFrame macro="">
      <xdr:nvGraphicFramePr>
        <xdr:cNvPr id="2" name="Chart 1">
          <a:extLst>
            <a:ext uri="{FF2B5EF4-FFF2-40B4-BE49-F238E27FC236}">
              <a16:creationId xmlns:a16="http://schemas.microsoft.com/office/drawing/2014/main" id="{567F0C3A-90AE-4936-A841-123A7D6690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twoCellAnchor editAs="oneCell">
    <xdr:from>
      <xdr:col>2</xdr:col>
      <xdr:colOff>7762</xdr:colOff>
      <xdr:row>21</xdr:row>
      <xdr:rowOff>11206</xdr:rowOff>
    </xdr:from>
    <xdr:to>
      <xdr:col>10</xdr:col>
      <xdr:colOff>634261</xdr:colOff>
      <xdr:row>27</xdr:row>
      <xdr:rowOff>0</xdr:rowOff>
    </xdr:to>
    <xdr:sp macro="" textlink="">
      <xdr:nvSpPr>
        <xdr:cNvPr id="6" name="TextBox 5">
          <a:extLst>
            <a:ext uri="{FF2B5EF4-FFF2-40B4-BE49-F238E27FC236}">
              <a16:creationId xmlns:a16="http://schemas.microsoft.com/office/drawing/2014/main" id="{8BECB82B-95A5-D041-ACB3-633361F70189}"/>
            </a:ext>
          </a:extLst>
        </xdr:cNvPr>
        <xdr:cNvSpPr txBox="1"/>
      </xdr:nvSpPr>
      <xdr:spPr>
        <a:xfrm>
          <a:off x="330147" y="4092302"/>
          <a:ext cx="5044633" cy="1183083"/>
        </a:xfrm>
        <a:prstGeom prst="rect">
          <a:avLst/>
        </a:prstGeom>
        <a:solidFill>
          <a:schemeClr val="accent2">
            <a:lumMod val="20000"/>
            <a:lumOff val="80000"/>
          </a:schemeClr>
        </a:solidFill>
        <a:ln w="9525" cmpd="sng">
          <a:solidFill>
            <a:schemeClr val="accent2">
              <a:lumMod val="20000"/>
              <a:lumOff val="8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bIns="45720" rtlCol="0" anchor="t"/>
        <a:lstStyle/>
        <a:p>
          <a:pPr>
            <a:lnSpc>
              <a:spcPct val="114000"/>
            </a:lnSpc>
          </a:pPr>
          <a:r>
            <a:rPr lang="en-US" sz="1000" b="1" baseline="0">
              <a:solidFill>
                <a:schemeClr val="tx1"/>
              </a:solidFill>
            </a:rPr>
            <a:t>Table 1 </a:t>
          </a:r>
          <a:r>
            <a:rPr lang="en-US" sz="1000" baseline="0">
              <a:solidFill>
                <a:schemeClr val="tx1"/>
              </a:solidFill>
            </a:rPr>
            <a:t>presents the 2015 and 2020 estimates published by the American Community Survey. Population 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a:t>
          </a:r>
          <a:endParaRPr lang="en-US" sz="1000">
            <a:solidFill>
              <a:schemeClr val="tx1"/>
            </a:solidFill>
          </a:endParaRPr>
        </a:p>
      </xdr:txBody>
    </xdr:sp>
    <xdr:clientData/>
  </xdr:twoCellAnchor>
  <xdr:twoCellAnchor>
    <xdr:from>
      <xdr:col>2</xdr:col>
      <xdr:colOff>27211</xdr:colOff>
      <xdr:row>113</xdr:row>
      <xdr:rowOff>75663</xdr:rowOff>
    </xdr:from>
    <xdr:to>
      <xdr:col>10</xdr:col>
      <xdr:colOff>438150</xdr:colOff>
      <xdr:row>133</xdr:row>
      <xdr:rowOff>131082</xdr:rowOff>
    </xdr:to>
    <xdr:graphicFrame macro="">
      <xdr:nvGraphicFramePr>
        <xdr:cNvPr id="7" name="Chart 6">
          <a:extLst>
            <a:ext uri="{FF2B5EF4-FFF2-40B4-BE49-F238E27FC236}">
              <a16:creationId xmlns:a16="http://schemas.microsoft.com/office/drawing/2014/main" id="{D4DE4617-C0C4-4C3F-9EBE-9EF9C6810C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34</xdr:col>
      <xdr:colOff>139063</xdr:colOff>
      <xdr:row>48</xdr:row>
      <xdr:rowOff>163601</xdr:rowOff>
    </xdr:from>
    <xdr:to>
      <xdr:col>34</xdr:col>
      <xdr:colOff>504823</xdr:colOff>
      <xdr:row>50</xdr:row>
      <xdr:rowOff>56921</xdr:rowOff>
    </xdr:to>
    <xdr:sp macro="" textlink="">
      <xdr:nvSpPr>
        <xdr:cNvPr id="9" name="Arrow: Right 8">
          <a:extLst>
            <a:ext uri="{FF2B5EF4-FFF2-40B4-BE49-F238E27FC236}">
              <a16:creationId xmlns:a16="http://schemas.microsoft.com/office/drawing/2014/main" id="{025E1148-A56F-46EC-8AAE-C410358E85E9}"/>
            </a:ext>
          </a:extLst>
        </xdr:cNvPr>
        <xdr:cNvSpPr/>
      </xdr:nvSpPr>
      <xdr:spPr>
        <a:xfrm rot="10800000">
          <a:off x="26672992" y="9470887"/>
          <a:ext cx="365760" cy="274320"/>
        </a:xfrm>
        <a:prstGeom prst="rightArrow">
          <a:avLst/>
        </a:prstGeom>
        <a:solidFill>
          <a:schemeClr val="accent2"/>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34</xdr:col>
      <xdr:colOff>190500</xdr:colOff>
      <xdr:row>50</xdr:row>
      <xdr:rowOff>122465</xdr:rowOff>
    </xdr:from>
    <xdr:to>
      <xdr:col>35</xdr:col>
      <xdr:colOff>136071</xdr:colOff>
      <xdr:row>63</xdr:row>
      <xdr:rowOff>33618</xdr:rowOff>
    </xdr:to>
    <xdr:sp macro="" textlink="">
      <xdr:nvSpPr>
        <xdr:cNvPr id="10" name="TextBox 9">
          <a:extLst>
            <a:ext uri="{FF2B5EF4-FFF2-40B4-BE49-F238E27FC236}">
              <a16:creationId xmlns:a16="http://schemas.microsoft.com/office/drawing/2014/main" id="{97985666-2F7C-60D7-E54D-7D15DA87C4B7}"/>
            </a:ext>
          </a:extLst>
        </xdr:cNvPr>
        <xdr:cNvSpPr txBox="1"/>
      </xdr:nvSpPr>
      <xdr:spPr>
        <a:xfrm>
          <a:off x="22366941" y="9625053"/>
          <a:ext cx="1223042" cy="23092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a:t>
          </a:r>
          <a:r>
            <a:rPr lang="en-US" sz="1100" baseline="0"/>
            <a:t> of</a:t>
          </a:r>
          <a:r>
            <a:rPr lang="en-US" sz="1100"/>
            <a:t> the number of estimates that</a:t>
          </a:r>
          <a:r>
            <a:rPr lang="en-US" sz="1100" baseline="0"/>
            <a:t> exceed the CV threshold for the larger racial groups. The CV threshold is not applied to the remainder of the groups because they are binned in the charts.</a:t>
          </a:r>
          <a:endParaRPr lang="en-US" sz="1100"/>
        </a:p>
      </xdr:txBody>
    </xdr:sp>
    <xdr:clientData/>
  </xdr:twoCellAnchor>
  <xdr:twoCellAnchor editAs="absolute">
    <xdr:from>
      <xdr:col>13</xdr:col>
      <xdr:colOff>254997</xdr:colOff>
      <xdr:row>6</xdr:row>
      <xdr:rowOff>170391</xdr:rowOff>
    </xdr:from>
    <xdr:to>
      <xdr:col>18</xdr:col>
      <xdr:colOff>293634</xdr:colOff>
      <xdr:row>19</xdr:row>
      <xdr:rowOff>85725</xdr:rowOff>
    </xdr:to>
    <xdr:sp macro="" textlink="">
      <xdr:nvSpPr>
        <xdr:cNvPr id="8" name="TextBox 7">
          <a:extLst>
            <a:ext uri="{FF2B5EF4-FFF2-40B4-BE49-F238E27FC236}">
              <a16:creationId xmlns:a16="http://schemas.microsoft.com/office/drawing/2014/main" id="{BBDE3211-CF02-4AD5-AD11-435E96280C96}"/>
            </a:ext>
          </a:extLst>
        </xdr:cNvPr>
        <xdr:cNvSpPr txBox="1"/>
      </xdr:nvSpPr>
      <xdr:spPr>
        <a:xfrm>
          <a:off x="6970122" y="1475316"/>
          <a:ext cx="1800762" cy="230610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050"/>
            <a:t>Table 1 provides all</a:t>
          </a:r>
          <a:r>
            <a:rPr lang="en-US" sz="1050" baseline="0"/>
            <a:t> ACS published estimates for the jurisdiction. The charts use the simplified race and ethnicity groups described on the "Readme tab". See explanation on the Readme tab for further information on racial and ethnic classification by the US Census. </a:t>
          </a:r>
          <a:endParaRPr lang="en-US" sz="1050"/>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2</xdr:col>
      <xdr:colOff>32346</xdr:colOff>
      <xdr:row>30</xdr:row>
      <xdr:rowOff>174626</xdr:rowOff>
    </xdr:from>
    <xdr:ext cx="6598111" cy="3200400"/>
    <xdr:graphicFrame macro="">
      <xdr:nvGraphicFramePr>
        <xdr:cNvPr id="9" name="Chart 8">
          <a:extLst>
            <a:ext uri="{FF2B5EF4-FFF2-40B4-BE49-F238E27FC236}">
              <a16:creationId xmlns:a16="http://schemas.microsoft.com/office/drawing/2014/main" id="{64E63726-388B-49D1-AE27-6469C5406C22}"/>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31750</xdr:colOff>
      <xdr:row>124</xdr:row>
      <xdr:rowOff>105834</xdr:rowOff>
    </xdr:from>
    <xdr:ext cx="6572250" cy="3200400"/>
    <xdr:graphicFrame macro="">
      <xdr:nvGraphicFramePr>
        <xdr:cNvPr id="11" name="Chart 10">
          <a:extLst>
            <a:ext uri="{FF2B5EF4-FFF2-40B4-BE49-F238E27FC236}">
              <a16:creationId xmlns:a16="http://schemas.microsoft.com/office/drawing/2014/main" id="{0B041C52-F306-42AA-84A3-08BF7C8877B0}"/>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29807</xdr:colOff>
      <xdr:row>203</xdr:row>
      <xdr:rowOff>143882</xdr:rowOff>
    </xdr:from>
    <xdr:ext cx="6203776" cy="3657600"/>
    <xdr:graphicFrame macro="">
      <xdr:nvGraphicFramePr>
        <xdr:cNvPr id="12" name="Chart 11">
          <a:extLst>
            <a:ext uri="{FF2B5EF4-FFF2-40B4-BE49-F238E27FC236}">
              <a16:creationId xmlns:a16="http://schemas.microsoft.com/office/drawing/2014/main" id="{9E9441B1-3A39-4927-88DB-6D80106B803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2</xdr:col>
      <xdr:colOff>17009</xdr:colOff>
      <xdr:row>292</xdr:row>
      <xdr:rowOff>88446</xdr:rowOff>
    </xdr:from>
    <xdr:ext cx="6400800" cy="3657600"/>
    <xdr:graphicFrame macro="">
      <xdr:nvGraphicFramePr>
        <xdr:cNvPr id="2" name="Chart 1">
          <a:extLst>
            <a:ext uri="{FF2B5EF4-FFF2-40B4-BE49-F238E27FC236}">
              <a16:creationId xmlns:a16="http://schemas.microsoft.com/office/drawing/2014/main" id="{5B3726C1-39C4-439B-8562-1427846B3786}"/>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2</xdr:col>
      <xdr:colOff>37040</xdr:colOff>
      <xdr:row>77</xdr:row>
      <xdr:rowOff>133350</xdr:rowOff>
    </xdr:from>
    <xdr:ext cx="6503459" cy="3200400"/>
    <xdr:graphicFrame macro="">
      <xdr:nvGraphicFramePr>
        <xdr:cNvPr id="4" name="Chart 3">
          <a:extLst>
            <a:ext uri="{FF2B5EF4-FFF2-40B4-BE49-F238E27FC236}">
              <a16:creationId xmlns:a16="http://schemas.microsoft.com/office/drawing/2014/main" id="{AA52466F-76CC-4CB5-A77C-AE08B806C0D9}"/>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oneCellAnchor>
    <xdr:from>
      <xdr:col>2</xdr:col>
      <xdr:colOff>74063</xdr:colOff>
      <xdr:row>54</xdr:row>
      <xdr:rowOff>25746</xdr:rowOff>
    </xdr:from>
    <xdr:ext cx="6604019" cy="3200400"/>
    <xdr:graphicFrame macro="">
      <xdr:nvGraphicFramePr>
        <xdr:cNvPr id="8" name="Chart 7">
          <a:extLst>
            <a:ext uri="{FF2B5EF4-FFF2-40B4-BE49-F238E27FC236}">
              <a16:creationId xmlns:a16="http://schemas.microsoft.com/office/drawing/2014/main" id="{39642DDF-D891-4E87-B3D1-025291058EDF}"/>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oneCellAnchor>
  <xdr:oneCellAnchor>
    <xdr:from>
      <xdr:col>2</xdr:col>
      <xdr:colOff>8563</xdr:colOff>
      <xdr:row>101</xdr:row>
      <xdr:rowOff>139604</xdr:rowOff>
    </xdr:from>
    <xdr:ext cx="6590146" cy="3200400"/>
    <xdr:graphicFrame macro="">
      <xdr:nvGraphicFramePr>
        <xdr:cNvPr id="13" name="Chart 12">
          <a:extLst>
            <a:ext uri="{FF2B5EF4-FFF2-40B4-BE49-F238E27FC236}">
              <a16:creationId xmlns:a16="http://schemas.microsoft.com/office/drawing/2014/main" id="{404A0D60-2AAD-465A-A444-213EA9D4D20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oneCellAnchor>
  <xdr:oneCellAnchor>
    <xdr:from>
      <xdr:col>2</xdr:col>
      <xdr:colOff>31750</xdr:colOff>
      <xdr:row>148</xdr:row>
      <xdr:rowOff>127000</xdr:rowOff>
    </xdr:from>
    <xdr:ext cx="6400800" cy="3200400"/>
    <xdr:graphicFrame macro="">
      <xdr:nvGraphicFramePr>
        <xdr:cNvPr id="14" name="Chart 13">
          <a:extLst>
            <a:ext uri="{FF2B5EF4-FFF2-40B4-BE49-F238E27FC236}">
              <a16:creationId xmlns:a16="http://schemas.microsoft.com/office/drawing/2014/main" id="{6ED16A6B-129A-4B0E-B702-C24E7F932114}"/>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oneCellAnchor>
  <xdr:oneCellAnchor>
    <xdr:from>
      <xdr:col>2</xdr:col>
      <xdr:colOff>29807</xdr:colOff>
      <xdr:row>229</xdr:row>
      <xdr:rowOff>115308</xdr:rowOff>
    </xdr:from>
    <xdr:ext cx="6400800" cy="2350610"/>
    <xdr:graphicFrame macro="">
      <xdr:nvGraphicFramePr>
        <xdr:cNvPr id="15" name="Chart 14">
          <a:extLst>
            <a:ext uri="{FF2B5EF4-FFF2-40B4-BE49-F238E27FC236}">
              <a16:creationId xmlns:a16="http://schemas.microsoft.com/office/drawing/2014/main" id="{B9609276-1A04-4BB1-A8CD-CFF8F30FBD2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oneCellAnchor>
  <xdr:oneCellAnchor>
    <xdr:from>
      <xdr:col>1</xdr:col>
      <xdr:colOff>322792</xdr:colOff>
      <xdr:row>247</xdr:row>
      <xdr:rowOff>68791</xdr:rowOff>
    </xdr:from>
    <xdr:ext cx="6400800" cy="3657600"/>
    <xdr:graphicFrame macro="">
      <xdr:nvGraphicFramePr>
        <xdr:cNvPr id="16" name="Chart 15">
          <a:extLst>
            <a:ext uri="{FF2B5EF4-FFF2-40B4-BE49-F238E27FC236}">
              <a16:creationId xmlns:a16="http://schemas.microsoft.com/office/drawing/2014/main" id="{800EFADA-FC2E-408B-96B5-D8ACDCF867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oneCellAnchor>
  <xdr:oneCellAnchor>
    <xdr:from>
      <xdr:col>2</xdr:col>
      <xdr:colOff>58208</xdr:colOff>
      <xdr:row>273</xdr:row>
      <xdr:rowOff>21165</xdr:rowOff>
    </xdr:from>
    <xdr:ext cx="6400800" cy="2444752"/>
    <xdr:graphicFrame macro="">
      <xdr:nvGraphicFramePr>
        <xdr:cNvPr id="17" name="Chart 16">
          <a:extLst>
            <a:ext uri="{FF2B5EF4-FFF2-40B4-BE49-F238E27FC236}">
              <a16:creationId xmlns:a16="http://schemas.microsoft.com/office/drawing/2014/main" id="{98958860-6000-40E0-A1ED-125C3083EE9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oneCellAnchor>
  <xdr:oneCellAnchor>
    <xdr:from>
      <xdr:col>2</xdr:col>
      <xdr:colOff>20819</xdr:colOff>
      <xdr:row>318</xdr:row>
      <xdr:rowOff>56061</xdr:rowOff>
    </xdr:from>
    <xdr:ext cx="6400800" cy="2431022"/>
    <xdr:graphicFrame macro="">
      <xdr:nvGraphicFramePr>
        <xdr:cNvPr id="18" name="Chart 17">
          <a:extLst>
            <a:ext uri="{FF2B5EF4-FFF2-40B4-BE49-F238E27FC236}">
              <a16:creationId xmlns:a16="http://schemas.microsoft.com/office/drawing/2014/main" id="{41B1FBD3-0C21-4FAC-B732-BEF63E77AB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oneCellAnchor>
  <xdr:twoCellAnchor>
    <xdr:from>
      <xdr:col>26</xdr:col>
      <xdr:colOff>107157</xdr:colOff>
      <xdr:row>80</xdr:row>
      <xdr:rowOff>107157</xdr:rowOff>
    </xdr:from>
    <xdr:to>
      <xdr:col>28</xdr:col>
      <xdr:colOff>119062</xdr:colOff>
      <xdr:row>87</xdr:row>
      <xdr:rowOff>142875</xdr:rowOff>
    </xdr:to>
    <xdr:sp macro="" textlink="">
      <xdr:nvSpPr>
        <xdr:cNvPr id="6" name="TextBox 5">
          <a:extLst>
            <a:ext uri="{FF2B5EF4-FFF2-40B4-BE49-F238E27FC236}">
              <a16:creationId xmlns:a16="http://schemas.microsoft.com/office/drawing/2014/main" id="{9FB1722F-AAF9-4442-B4E8-07E011C3F6DF}"/>
            </a:ext>
          </a:extLst>
        </xdr:cNvPr>
        <xdr:cNvSpPr txBox="1"/>
      </xdr:nvSpPr>
      <xdr:spPr>
        <a:xfrm>
          <a:off x="21586032" y="15251907"/>
          <a:ext cx="1393030" cy="129778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Highlighting</a:t>
          </a:r>
          <a:r>
            <a:rPr lang="en-US" sz="1100" baseline="0"/>
            <a:t> indicates the Coefficient of Variation exceeds the threshold specified on the Inputs tab.</a:t>
          </a:r>
          <a:endParaRPr lang="en-US" sz="1100"/>
        </a:p>
      </xdr:txBody>
    </xdr:sp>
    <xdr:clientData/>
  </xdr:twoCellAnchor>
  <xdr:twoCellAnchor editAs="oneCell">
    <xdr:from>
      <xdr:col>42</xdr:col>
      <xdr:colOff>0</xdr:colOff>
      <xdr:row>8</xdr:row>
      <xdr:rowOff>0</xdr:rowOff>
    </xdr:from>
    <xdr:to>
      <xdr:col>54</xdr:col>
      <xdr:colOff>9525</xdr:colOff>
      <xdr:row>11</xdr:row>
      <xdr:rowOff>57150</xdr:rowOff>
    </xdr:to>
    <xdr:pic>
      <xdr:nvPicPr>
        <xdr:cNvPr id="3" name="Picture 2">
          <a:extLst>
            <a:ext uri="{FF2B5EF4-FFF2-40B4-BE49-F238E27FC236}">
              <a16:creationId xmlns:a16="http://schemas.microsoft.com/office/drawing/2014/main" id="{89E6DE82-06A0-B766-8637-647A58AADF07}"/>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33556575" y="1838325"/>
          <a:ext cx="3333750" cy="638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62</xdr:col>
      <xdr:colOff>0</xdr:colOff>
      <xdr:row>4</xdr:row>
      <xdr:rowOff>0</xdr:rowOff>
    </xdr:from>
    <xdr:to>
      <xdr:col>65</xdr:col>
      <xdr:colOff>9525</xdr:colOff>
      <xdr:row>16</xdr:row>
      <xdr:rowOff>9525</xdr:rowOff>
    </xdr:to>
    <xdr:pic>
      <xdr:nvPicPr>
        <xdr:cNvPr id="19" name="Picture 18">
          <a:extLst>
            <a:ext uri="{FF2B5EF4-FFF2-40B4-BE49-F238E27FC236}">
              <a16:creationId xmlns:a16="http://schemas.microsoft.com/office/drawing/2014/main" id="{2A5005CA-A015-5A99-9263-2428F46753BB}"/>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39395400" y="962025"/>
          <a:ext cx="952500" cy="2390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c:userShapes xmlns:c="http://schemas.openxmlformats.org/drawingml/2006/chart">
  <cdr:relSizeAnchor xmlns:cdr="http://schemas.openxmlformats.org/drawingml/2006/chartDrawing">
    <cdr:from>
      <cdr:x>0.81836</cdr:x>
      <cdr:y>0.17634</cdr:y>
    </cdr:from>
    <cdr:to>
      <cdr:x>0.96653</cdr:x>
      <cdr:y>0.83743</cdr:y>
    </cdr:to>
    <cdr:pic>
      <cdr:nvPicPr>
        <cdr:cNvPr id="2" name="Picture 1">
          <a:extLst xmlns:a="http://schemas.openxmlformats.org/drawingml/2006/main">
            <a:ext uri="{FF2B5EF4-FFF2-40B4-BE49-F238E27FC236}">
              <a16:creationId xmlns:a16="http://schemas.microsoft.com/office/drawing/2014/main" id="{B07B9192-8F79-0DD9-BDAD-5E9FA4F7CBB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238161" y="644979"/>
          <a:ext cx="948407" cy="241800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7.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0.53274</cdr:x>
      <cdr:y>0.26563</cdr:y>
    </cdr:from>
    <cdr:to>
      <cdr:x>0.97917</cdr:x>
      <cdr:y>0.3724</cdr:y>
    </cdr:to>
    <cdr:sp macro="" textlink="">
      <cdr:nvSpPr>
        <cdr:cNvPr id="3"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0.19618</cdr:y>
    </cdr:from>
    <cdr:to>
      <cdr:x>0.94163</cdr:x>
      <cdr:y>0.86117</cdr:y>
    </cdr:to>
    <cdr:pic>
      <cdr:nvPicPr>
        <cdr:cNvPr id="4" name="Picture 3">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717550"/>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8.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0.33366</cdr:x>
      <cdr:y>0.82523</cdr:y>
    </cdr:from>
    <cdr:to>
      <cdr:x>0.85268</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135717"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9.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0.82523</cdr:y>
    </cdr:from>
    <cdr:to>
      <cdr:x>0.88708</cdr:x>
      <cdr:y>1</cdr:y>
    </cdr:to>
    <cdr:pic>
      <cdr:nvPicPr>
        <cdr:cNvPr id="5" name="Picture 4">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30183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tables/table1.xml><?xml version="1.0" encoding="utf-8"?>
<table xmlns="http://schemas.openxmlformats.org/spreadsheetml/2006/main" id="62" name="GEOID" displayName="GEOID" ref="A1:B680" totalsRowShown="0" headerRowCellStyle="Heading 4">
  <autoFilter ref="A1:B680"/>
  <tableColumns count="2">
    <tableColumn id="1" name="NAME"/>
    <tableColumn id="2" name="GEO_ID"/>
  </tableColumns>
  <tableStyleInfo name="Base" showFirstColumn="0" showLastColumn="0" showRowStripes="1" showColumnStripes="0"/>
</table>
</file>

<file path=xl/tables/table2.xml><?xml version="1.0" encoding="utf-8"?>
<table xmlns="http://schemas.openxmlformats.org/spreadsheetml/2006/main" id="102" name="WA_CDPs" displayName="WA_CDPs" ref="A1:D640" totalsRowShown="0" headerRowCellStyle="Heading 4">
  <autoFilter ref="A1:D640"/>
  <tableColumns count="4">
    <tableColumn id="1" name="NAME"/>
    <tableColumn id="4" name="Base Name">
      <calculatedColumnFormula>SUBSTITUTE(SUBSTITUTE(SUBSTITUTE(SUBSTITUTE(SUBSTITUTE(WA_CDPs[[#This Row],[NAME]]," Tribal Community CDP, Washington","")," CDP, Washington","")," city, Washington","")," town, Washington","")," village, Washington","")</calculatedColumnFormula>
    </tableColumn>
    <tableColumn id="2" name="GEO_ID"/>
    <tableColumn id="3" name="GEO_ID_CHAS"/>
  </tableColumns>
  <tableStyleInfo name="Base" showFirstColumn="0" showLastColumn="0" showRowStripes="1" showColumnStripes="0"/>
</table>
</file>

<file path=xl/tables/table3.xml><?xml version="1.0" encoding="utf-8"?>
<table xmlns="http://schemas.openxmlformats.org/spreadsheetml/2006/main" id="114" name="WA_Counties" displayName="WA_Counties" ref="A1:D40" totalsRowShown="0" headerRowCellStyle="Heading 4">
  <autoFilter ref="A1:D40"/>
  <tableColumns count="4">
    <tableColumn id="1" name="NAME"/>
    <tableColumn id="4" name="Base Name">
      <calculatedColumnFormula>SUBSTITUTE(WA_Counties[[#This Row],[NAME]],", Washington","")</calculatedColumnFormula>
    </tableColumn>
    <tableColumn id="2" name="GEO_ID"/>
    <tableColumn id="3" name="GEO_ID_CHAS"/>
  </tableColumns>
  <tableStyleInfo name="Base" showFirstColumn="0" showLastColumn="0" showRowStripes="1" showColumnStripes="0"/>
</table>
</file>

<file path=xl/theme/theme1.xml><?xml version="1.0" encoding="utf-8"?>
<a:theme xmlns:a="http://schemas.openxmlformats.org/drawingml/2006/main" name="Office Theme">
  <a:themeElements>
    <a:clrScheme name="RDI Tool">
      <a:dk1>
        <a:srgbClr val="333333"/>
      </a:dk1>
      <a:lt1>
        <a:sysClr val="window" lastClr="FFFFFF"/>
      </a:lt1>
      <a:dk2>
        <a:srgbClr val="555555"/>
      </a:dk2>
      <a:lt2>
        <a:srgbClr val="D9D9D9"/>
      </a:lt2>
      <a:accent1>
        <a:srgbClr val="00BCE8"/>
      </a:accent1>
      <a:accent2>
        <a:srgbClr val="EA5F14"/>
      </a:accent2>
      <a:accent3>
        <a:srgbClr val="BBCE00"/>
      </a:accent3>
      <a:accent4>
        <a:srgbClr val="9B0059"/>
      </a:accent4>
      <a:accent5>
        <a:srgbClr val="6E767D"/>
      </a:accent5>
      <a:accent6>
        <a:srgbClr val="0A82A0"/>
      </a:accent6>
      <a:hlink>
        <a:srgbClr val="0A82A0"/>
      </a:hlink>
      <a:folHlink>
        <a:srgbClr val="6E767D"/>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table" Target="../tables/table2.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3.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xml.rels><?xml version="1.0" encoding="UTF-8" standalone="yes"?>
<Relationships xmlns="http://schemas.openxmlformats.org/package/2006/relationships"><Relationship Id="rId3" Type="http://schemas.openxmlformats.org/officeDocument/2006/relationships/hyperlink" Target="https://www.huduser.gov/portal/datasets/cp/2010thru2014-050-csv.zip" TargetMode="External"/><Relationship Id="rId7" Type="http://schemas.openxmlformats.org/officeDocument/2006/relationships/drawing" Target="../drawings/drawing2.xml"/><Relationship Id="rId2" Type="http://schemas.openxmlformats.org/officeDocument/2006/relationships/hyperlink" Target="https://www.huduser.gov/portal/datasets/cp/2015thru2019-160-csv.zip" TargetMode="External"/><Relationship Id="rId1" Type="http://schemas.openxmlformats.org/officeDocument/2006/relationships/hyperlink" Target="https://www.huduser.gov/portal/datasets/cp/2015thru2019-050-csv.zip" TargetMode="External"/><Relationship Id="rId6" Type="http://schemas.openxmlformats.org/officeDocument/2006/relationships/printerSettings" Target="../printerSettings/printerSettings2.bin"/><Relationship Id="rId5" Type="http://schemas.openxmlformats.org/officeDocument/2006/relationships/hyperlink" Target="https://data.census.gov/cedsci/table" TargetMode="External"/><Relationship Id="rId4" Type="http://schemas.openxmlformats.org/officeDocument/2006/relationships/hyperlink" Target="https://www.huduser.gov/portal/datasets/cp/2010thru2014-160-csv.zip"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9"/>
    <pageSetUpPr fitToPage="1"/>
  </sheetPr>
  <dimension ref="A1:J101"/>
  <sheetViews>
    <sheetView tabSelected="1" zoomScaleNormal="100" workbookViewId="0">
      <selection activeCell="I67" sqref="I67"/>
    </sheetView>
  </sheetViews>
  <sheetFormatPr defaultRowHeight="14.25"/>
  <cols>
    <col min="4" max="10" width="8.375" customWidth="1"/>
  </cols>
  <sheetData>
    <row r="1" spans="1:10">
      <c r="A1" s="152"/>
      <c r="B1" s="152"/>
      <c r="C1" s="152"/>
      <c r="D1" s="152"/>
      <c r="E1" s="152"/>
      <c r="F1" s="152"/>
      <c r="G1" s="152"/>
      <c r="H1" s="152"/>
      <c r="I1" s="152"/>
      <c r="J1" s="152"/>
    </row>
    <row r="2" spans="1:10" ht="18">
      <c r="A2" s="153" t="s">
        <v>2812</v>
      </c>
      <c r="B2" s="152"/>
      <c r="C2" s="152"/>
      <c r="D2" s="152"/>
      <c r="E2" s="152"/>
      <c r="F2" s="152"/>
      <c r="G2" s="152"/>
      <c r="H2" s="152"/>
      <c r="I2" s="152"/>
      <c r="J2" s="152"/>
    </row>
    <row r="3" spans="1:10">
      <c r="A3" s="152"/>
      <c r="B3" s="152"/>
      <c r="C3" s="152"/>
      <c r="D3" s="152"/>
      <c r="E3" s="152"/>
      <c r="F3" s="152"/>
      <c r="G3" s="152"/>
      <c r="H3" s="152"/>
      <c r="I3" s="152"/>
      <c r="J3" s="152"/>
    </row>
    <row r="4" spans="1:10">
      <c r="A4" s="152"/>
      <c r="B4" s="152"/>
      <c r="C4" s="152"/>
      <c r="D4" s="152"/>
      <c r="E4" s="152"/>
      <c r="F4" s="152"/>
      <c r="G4" s="152"/>
      <c r="H4" s="152"/>
      <c r="I4" s="152"/>
      <c r="J4" s="152"/>
    </row>
    <row r="5" spans="1:10">
      <c r="A5" s="152"/>
      <c r="B5" s="152"/>
      <c r="C5" s="152"/>
      <c r="D5" s="152"/>
      <c r="E5" s="152"/>
      <c r="F5" s="152"/>
      <c r="G5" s="152"/>
      <c r="H5" s="152"/>
      <c r="I5" s="152"/>
      <c r="J5" s="152"/>
    </row>
    <row r="6" spans="1:10">
      <c r="A6" s="152"/>
      <c r="B6" s="152"/>
      <c r="C6" s="152"/>
      <c r="D6" s="152"/>
      <c r="E6" s="152"/>
      <c r="F6" s="152"/>
      <c r="G6" s="152"/>
      <c r="H6" s="152"/>
      <c r="I6" s="152"/>
      <c r="J6" s="152"/>
    </row>
    <row r="7" spans="1:10">
      <c r="A7" s="152"/>
      <c r="B7" s="152"/>
      <c r="C7" s="152"/>
      <c r="D7" s="152"/>
      <c r="E7" s="152"/>
      <c r="F7" s="152"/>
      <c r="G7" s="152"/>
      <c r="H7" s="152"/>
      <c r="I7" s="152"/>
      <c r="J7" s="152"/>
    </row>
    <row r="8" spans="1:10">
      <c r="A8" s="152"/>
      <c r="B8" s="152"/>
      <c r="C8" s="152"/>
      <c r="D8" s="152"/>
      <c r="E8" s="152"/>
      <c r="F8" s="152"/>
      <c r="G8" s="152"/>
      <c r="H8" s="152"/>
      <c r="I8" s="152"/>
      <c r="J8" s="152"/>
    </row>
    <row r="9" spans="1:10">
      <c r="A9" s="152"/>
      <c r="B9" s="152"/>
      <c r="C9" s="152"/>
      <c r="D9" s="152"/>
      <c r="E9" s="152"/>
      <c r="F9" s="152"/>
      <c r="G9" s="152"/>
      <c r="H9" s="152"/>
      <c r="I9" s="152"/>
      <c r="J9" s="152"/>
    </row>
    <row r="10" spans="1:10">
      <c r="A10" s="152"/>
      <c r="B10" s="152"/>
      <c r="C10" s="152"/>
      <c r="D10" s="152"/>
      <c r="E10" s="152"/>
      <c r="F10" s="152"/>
      <c r="G10" s="152"/>
      <c r="H10" s="152"/>
      <c r="I10" s="152"/>
      <c r="J10" s="152"/>
    </row>
    <row r="11" spans="1:10" ht="18">
      <c r="A11" s="153" t="s">
        <v>2782</v>
      </c>
      <c r="B11" s="152"/>
      <c r="C11" s="152"/>
      <c r="D11" s="152"/>
      <c r="E11" s="152"/>
      <c r="F11" s="152"/>
      <c r="G11" s="152"/>
      <c r="H11" s="152"/>
      <c r="I11" s="152"/>
      <c r="J11" s="152"/>
    </row>
    <row r="12" spans="1:10">
      <c r="A12" s="152"/>
      <c r="B12" s="152"/>
      <c r="C12" s="152"/>
      <c r="D12" s="152"/>
      <c r="E12" s="152"/>
      <c r="F12" s="152"/>
      <c r="G12" s="152"/>
      <c r="H12" s="152"/>
      <c r="I12" s="152"/>
      <c r="J12" s="152"/>
    </row>
    <row r="13" spans="1:10">
      <c r="A13" s="152"/>
      <c r="B13" s="152"/>
      <c r="C13" s="152"/>
      <c r="D13" s="152"/>
      <c r="E13" s="152"/>
      <c r="F13" s="152"/>
      <c r="G13" s="152"/>
      <c r="H13" s="152"/>
      <c r="I13" s="152"/>
      <c r="J13" s="152"/>
    </row>
    <row r="14" spans="1:10">
      <c r="A14" s="152"/>
      <c r="B14" s="152"/>
      <c r="C14" s="152"/>
      <c r="D14" s="152"/>
      <c r="E14" s="152"/>
      <c r="F14" s="152"/>
      <c r="G14" s="152"/>
      <c r="H14" s="152"/>
      <c r="I14" s="152"/>
      <c r="J14" s="152"/>
    </row>
    <row r="15" spans="1:10">
      <c r="A15" s="152"/>
      <c r="B15" s="154"/>
      <c r="C15" s="152"/>
      <c r="D15" s="152"/>
      <c r="E15" s="152"/>
      <c r="F15" s="152"/>
      <c r="G15" s="152"/>
      <c r="H15" s="152"/>
      <c r="I15" s="152"/>
      <c r="J15" s="152"/>
    </row>
    <row r="16" spans="1:10">
      <c r="A16" s="152"/>
      <c r="B16" s="152"/>
      <c r="C16" s="152"/>
      <c r="D16" s="152"/>
      <c r="E16" s="152"/>
      <c r="F16" s="152"/>
      <c r="G16" s="152"/>
      <c r="H16" s="152"/>
      <c r="I16" s="152"/>
      <c r="J16" s="152"/>
    </row>
    <row r="17" spans="1:10">
      <c r="A17" s="152"/>
      <c r="B17" s="152"/>
      <c r="C17" s="152"/>
      <c r="D17" s="152"/>
      <c r="E17" s="152"/>
      <c r="F17" s="152"/>
      <c r="G17" s="152"/>
      <c r="H17" s="152"/>
      <c r="I17" s="152"/>
      <c r="J17" s="152"/>
    </row>
    <row r="18" spans="1:10">
      <c r="A18" s="152"/>
      <c r="B18" s="155"/>
      <c r="C18" s="152"/>
      <c r="D18" s="152"/>
      <c r="E18" s="152"/>
      <c r="F18" s="152"/>
      <c r="G18" s="152"/>
      <c r="H18" s="152"/>
      <c r="I18" s="152"/>
      <c r="J18" s="152"/>
    </row>
    <row r="19" spans="1:10">
      <c r="A19" s="152"/>
      <c r="B19" s="152"/>
      <c r="C19" s="152"/>
      <c r="D19" s="152"/>
      <c r="E19" s="152"/>
      <c r="F19" s="152"/>
      <c r="G19" s="152"/>
      <c r="H19" s="152"/>
      <c r="I19" s="152"/>
      <c r="J19" s="152"/>
    </row>
    <row r="20" spans="1:10">
      <c r="A20" s="152"/>
      <c r="B20" s="152"/>
      <c r="C20" s="152"/>
      <c r="D20" s="152"/>
      <c r="E20" s="152"/>
      <c r="F20" s="152"/>
      <c r="G20" s="152"/>
      <c r="H20" s="152"/>
      <c r="I20" s="152"/>
      <c r="J20" s="152"/>
    </row>
    <row r="21" spans="1:10">
      <c r="A21" s="152"/>
      <c r="B21" s="152"/>
      <c r="C21" s="152"/>
      <c r="D21" s="152"/>
      <c r="E21" s="152"/>
      <c r="F21" s="152"/>
      <c r="G21" s="152"/>
      <c r="H21" s="152"/>
      <c r="I21" s="152"/>
      <c r="J21" s="152"/>
    </row>
    <row r="22" spans="1:10">
      <c r="A22" s="152"/>
      <c r="B22" s="152"/>
      <c r="C22" s="152"/>
      <c r="D22" s="152"/>
      <c r="E22" s="152"/>
      <c r="F22" s="152"/>
      <c r="G22" s="152"/>
      <c r="H22" s="152"/>
      <c r="I22" s="152"/>
      <c r="J22" s="152"/>
    </row>
    <row r="23" spans="1:10">
      <c r="A23" s="152"/>
      <c r="B23" s="152"/>
      <c r="C23" s="152"/>
      <c r="D23" s="152"/>
      <c r="E23" s="152"/>
      <c r="F23" s="152"/>
      <c r="G23" s="152"/>
      <c r="H23" s="152"/>
      <c r="I23" s="152"/>
      <c r="J23" s="152"/>
    </row>
    <row r="24" spans="1:10">
      <c r="A24" s="152"/>
      <c r="B24" s="152"/>
      <c r="C24" s="152"/>
      <c r="D24" s="152"/>
      <c r="E24" s="152"/>
      <c r="F24" s="152"/>
      <c r="G24" s="152"/>
      <c r="H24" s="152"/>
      <c r="I24" s="152"/>
      <c r="J24" s="152"/>
    </row>
    <row r="25" spans="1:10">
      <c r="A25" s="152"/>
      <c r="B25" s="156"/>
      <c r="C25" s="152"/>
      <c r="D25" s="152"/>
      <c r="E25" s="152"/>
      <c r="F25" s="152"/>
      <c r="G25" s="152"/>
      <c r="H25" s="152"/>
      <c r="I25" s="152"/>
      <c r="J25" s="152"/>
    </row>
    <row r="26" spans="1:10">
      <c r="A26" s="152"/>
      <c r="B26" s="152"/>
      <c r="C26" s="152"/>
      <c r="D26" s="152"/>
      <c r="E26" s="152"/>
      <c r="F26" s="152"/>
      <c r="G26" s="152"/>
      <c r="H26" s="152"/>
      <c r="I26" s="152"/>
      <c r="J26" s="152"/>
    </row>
    <row r="27" spans="1:10">
      <c r="A27" s="152"/>
      <c r="B27" s="152"/>
      <c r="C27" s="152"/>
      <c r="D27" s="152"/>
      <c r="E27" s="152"/>
      <c r="F27" s="152"/>
      <c r="G27" s="152"/>
      <c r="H27" s="152"/>
      <c r="I27" s="152"/>
      <c r="J27" s="152"/>
    </row>
    <row r="28" spans="1:10">
      <c r="A28" s="152"/>
      <c r="B28" s="152"/>
      <c r="C28" s="152"/>
      <c r="D28" s="152"/>
      <c r="E28" s="152"/>
      <c r="F28" s="152"/>
      <c r="G28" s="152"/>
      <c r="H28" s="152"/>
      <c r="I28" s="152"/>
      <c r="J28" s="152"/>
    </row>
    <row r="29" spans="1:10">
      <c r="A29" s="152"/>
      <c r="B29" s="152"/>
      <c r="C29" s="152"/>
      <c r="D29" s="152"/>
      <c r="E29" s="152"/>
      <c r="F29" s="152"/>
      <c r="G29" s="152"/>
      <c r="H29" s="152"/>
      <c r="I29" s="152"/>
      <c r="J29" s="152"/>
    </row>
    <row r="30" spans="1:10">
      <c r="A30" s="152"/>
      <c r="B30" s="157"/>
      <c r="C30" s="152"/>
      <c r="D30" s="152"/>
      <c r="E30" s="152"/>
      <c r="F30" s="152"/>
      <c r="G30" s="152"/>
      <c r="H30" s="152"/>
      <c r="I30" s="152"/>
      <c r="J30" s="152"/>
    </row>
    <row r="31" spans="1:10">
      <c r="A31" s="152"/>
      <c r="B31" s="152"/>
      <c r="C31" s="152"/>
      <c r="D31" s="152"/>
      <c r="E31" s="152"/>
      <c r="F31" s="152"/>
      <c r="G31" s="152"/>
      <c r="H31" s="152"/>
      <c r="I31" s="152"/>
      <c r="J31" s="152"/>
    </row>
    <row r="32" spans="1:10">
      <c r="A32" s="152"/>
      <c r="B32" s="152"/>
      <c r="C32" s="152"/>
      <c r="D32" s="152"/>
      <c r="E32" s="152"/>
      <c r="F32" s="152"/>
      <c r="G32" s="152"/>
      <c r="H32" s="152"/>
      <c r="I32" s="152"/>
      <c r="J32" s="152"/>
    </row>
    <row r="33" spans="1:10">
      <c r="A33" s="152"/>
      <c r="B33" s="152"/>
      <c r="C33" s="152"/>
      <c r="D33" s="152"/>
      <c r="E33" s="152"/>
      <c r="F33" s="152"/>
      <c r="G33" s="152"/>
      <c r="H33" s="152"/>
      <c r="I33" s="152"/>
      <c r="J33" s="152"/>
    </row>
    <row r="34" spans="1:10">
      <c r="A34" s="152"/>
      <c r="B34" s="158"/>
      <c r="C34" s="152"/>
      <c r="D34" s="152"/>
      <c r="E34" s="152"/>
      <c r="F34" s="152"/>
      <c r="G34" s="152"/>
      <c r="H34" s="152"/>
      <c r="I34" s="152"/>
      <c r="J34" s="152"/>
    </row>
    <row r="35" spans="1:10">
      <c r="A35" s="152"/>
      <c r="B35" s="152"/>
      <c r="C35" s="152"/>
      <c r="D35" s="152"/>
      <c r="E35" s="152"/>
      <c r="F35" s="152"/>
      <c r="G35" s="152"/>
      <c r="H35" s="152"/>
      <c r="I35" s="152"/>
      <c r="J35" s="152"/>
    </row>
    <row r="36" spans="1:10">
      <c r="A36" s="152"/>
      <c r="B36" s="152"/>
      <c r="C36" s="152"/>
      <c r="D36" s="152"/>
      <c r="E36" s="152"/>
      <c r="F36" s="152"/>
      <c r="G36" s="152"/>
      <c r="H36" s="152"/>
      <c r="I36" s="152"/>
      <c r="J36" s="152"/>
    </row>
    <row r="37" spans="1:10">
      <c r="A37" s="152"/>
      <c r="B37" s="152"/>
      <c r="C37" s="152"/>
      <c r="D37" s="152"/>
      <c r="E37" s="152"/>
      <c r="F37" s="152"/>
      <c r="G37" s="152"/>
      <c r="H37" s="152"/>
      <c r="I37" s="152"/>
      <c r="J37" s="152"/>
    </row>
    <row r="38" spans="1:10">
      <c r="A38" s="152"/>
      <c r="B38" s="152"/>
      <c r="C38" s="152"/>
      <c r="D38" s="152"/>
      <c r="E38" s="152"/>
      <c r="F38" s="152"/>
      <c r="G38" s="152"/>
      <c r="H38" s="152"/>
      <c r="I38" s="152"/>
      <c r="J38" s="152"/>
    </row>
    <row r="39" spans="1:10">
      <c r="A39" s="152"/>
      <c r="B39" s="152"/>
      <c r="C39" s="152"/>
      <c r="D39" s="152"/>
      <c r="E39" s="152"/>
      <c r="F39" s="152"/>
      <c r="G39" s="152"/>
      <c r="H39" s="152"/>
      <c r="I39" s="152"/>
      <c r="J39" s="152"/>
    </row>
    <row r="40" spans="1:10" ht="18">
      <c r="A40" s="153" t="s">
        <v>2729</v>
      </c>
      <c r="B40" s="152"/>
      <c r="C40" s="152"/>
      <c r="D40" s="152"/>
      <c r="E40" s="152"/>
      <c r="F40" s="152"/>
      <c r="G40" s="152"/>
      <c r="H40" s="152"/>
      <c r="I40" s="152"/>
      <c r="J40" s="152"/>
    </row>
    <row r="41" spans="1:10">
      <c r="A41" s="152"/>
      <c r="B41" s="152"/>
      <c r="C41" s="152"/>
      <c r="D41" s="152"/>
      <c r="E41" s="152"/>
      <c r="F41" s="152"/>
      <c r="G41" s="152"/>
      <c r="H41" s="152"/>
      <c r="I41" s="152"/>
      <c r="J41" s="152"/>
    </row>
    <row r="42" spans="1:10">
      <c r="A42" s="152"/>
      <c r="B42" s="152"/>
      <c r="C42" s="152"/>
      <c r="D42" s="152"/>
      <c r="E42" s="152"/>
      <c r="F42" s="152"/>
      <c r="G42" s="152"/>
      <c r="H42" s="152"/>
      <c r="I42" s="152"/>
      <c r="J42" s="152"/>
    </row>
    <row r="43" spans="1:10">
      <c r="A43" s="152"/>
      <c r="B43" s="152"/>
      <c r="C43" s="152"/>
      <c r="D43" s="152"/>
      <c r="E43" s="152"/>
      <c r="F43" s="152"/>
      <c r="G43" s="152"/>
      <c r="H43" s="152"/>
      <c r="I43" s="152"/>
      <c r="J43" s="152"/>
    </row>
    <row r="44" spans="1:10">
      <c r="A44" s="152"/>
      <c r="B44" s="152"/>
      <c r="C44" s="152"/>
      <c r="D44" s="152"/>
      <c r="E44" s="152"/>
      <c r="F44" s="152"/>
      <c r="G44" s="152"/>
      <c r="H44" s="152"/>
      <c r="I44" s="152"/>
      <c r="J44" s="152"/>
    </row>
    <row r="45" spans="1:10">
      <c r="A45" s="152"/>
      <c r="B45" s="152"/>
      <c r="C45" s="152"/>
      <c r="D45" s="152"/>
      <c r="E45" s="152"/>
      <c r="F45" s="152"/>
      <c r="G45" s="152"/>
      <c r="H45" s="152"/>
      <c r="I45" s="152"/>
      <c r="J45" s="152"/>
    </row>
    <row r="46" spans="1:10">
      <c r="A46" s="152"/>
      <c r="B46" s="152"/>
      <c r="C46" s="152"/>
      <c r="D46" s="152"/>
      <c r="E46" s="152"/>
      <c r="F46" s="152"/>
      <c r="G46" s="152"/>
      <c r="H46" s="152"/>
      <c r="I46" s="152"/>
      <c r="J46" s="152"/>
    </row>
    <row r="47" spans="1:10">
      <c r="A47" s="152"/>
      <c r="B47" s="152"/>
      <c r="C47" s="152"/>
      <c r="D47" s="152"/>
      <c r="E47" s="152"/>
      <c r="F47" s="152"/>
      <c r="G47" s="152"/>
      <c r="H47" s="152"/>
      <c r="I47" s="152"/>
      <c r="J47" s="152"/>
    </row>
    <row r="48" spans="1:10">
      <c r="A48" s="152"/>
      <c r="B48" s="152"/>
      <c r="C48" s="152"/>
      <c r="D48" s="152"/>
      <c r="E48" s="152"/>
      <c r="F48" s="152"/>
      <c r="G48" s="152"/>
      <c r="H48" s="152"/>
      <c r="I48" s="152"/>
      <c r="J48" s="152"/>
    </row>
    <row r="49" spans="1:10">
      <c r="A49" s="152"/>
      <c r="B49" s="152"/>
      <c r="C49" s="152"/>
      <c r="D49" s="152"/>
      <c r="E49" s="152"/>
      <c r="F49" s="152"/>
      <c r="G49" s="152"/>
      <c r="H49" s="152"/>
      <c r="I49" s="152"/>
      <c r="J49" s="152"/>
    </row>
    <row r="50" spans="1:10">
      <c r="A50" s="152"/>
      <c r="B50" s="152"/>
      <c r="C50" s="152"/>
      <c r="D50" s="152"/>
      <c r="E50" s="152"/>
      <c r="F50" s="152"/>
      <c r="G50" s="152"/>
      <c r="H50" s="152"/>
      <c r="I50" s="152"/>
      <c r="J50" s="152"/>
    </row>
    <row r="51" spans="1:10">
      <c r="A51" s="152"/>
      <c r="B51" s="152"/>
      <c r="C51" s="152"/>
      <c r="D51" s="152"/>
      <c r="E51" s="152"/>
      <c r="F51" s="152"/>
      <c r="G51" s="152"/>
      <c r="H51" s="152"/>
      <c r="I51" s="152"/>
      <c r="J51" s="152"/>
    </row>
    <row r="52" spans="1:10">
      <c r="A52" s="152"/>
      <c r="B52" s="152"/>
      <c r="C52" s="152"/>
      <c r="D52" s="152"/>
      <c r="E52" s="152"/>
      <c r="F52" s="152"/>
      <c r="G52" s="152"/>
      <c r="H52" s="152"/>
      <c r="I52" s="152"/>
      <c r="J52" s="152"/>
    </row>
    <row r="53" spans="1:10">
      <c r="A53" s="152"/>
      <c r="B53" s="152"/>
      <c r="C53" s="152"/>
      <c r="D53" s="152"/>
      <c r="E53" s="152"/>
      <c r="F53" s="152"/>
      <c r="G53" s="152"/>
      <c r="H53" s="152"/>
      <c r="I53" s="152"/>
      <c r="J53" s="152"/>
    </row>
    <row r="54" spans="1:10">
      <c r="A54" s="152"/>
      <c r="B54" s="152"/>
      <c r="C54" s="152"/>
      <c r="D54" s="152"/>
      <c r="E54" s="152"/>
      <c r="F54" s="152"/>
      <c r="G54" s="152"/>
      <c r="H54" s="152"/>
      <c r="I54" s="152"/>
      <c r="J54" s="152"/>
    </row>
    <row r="55" spans="1:10">
      <c r="A55" s="152"/>
      <c r="B55" s="152"/>
      <c r="C55" s="152"/>
      <c r="D55" s="152"/>
      <c r="E55" s="152"/>
      <c r="F55" s="152"/>
      <c r="G55" s="152"/>
      <c r="H55" s="152"/>
      <c r="I55" s="152"/>
      <c r="J55" s="152"/>
    </row>
    <row r="56" spans="1:10">
      <c r="A56" s="152"/>
      <c r="B56" s="152"/>
      <c r="C56" s="152"/>
      <c r="D56" s="152"/>
      <c r="E56" s="152"/>
      <c r="F56" s="152"/>
      <c r="G56" s="152"/>
      <c r="H56" s="152"/>
      <c r="I56" s="152"/>
      <c r="J56" s="152"/>
    </row>
    <row r="57" spans="1:10">
      <c r="A57" s="152"/>
      <c r="B57" s="152"/>
      <c r="C57" s="152"/>
      <c r="D57" s="152"/>
      <c r="E57" s="152"/>
      <c r="F57" s="152"/>
      <c r="G57" s="152"/>
      <c r="H57" s="152"/>
      <c r="I57" s="152"/>
      <c r="J57" s="152"/>
    </row>
    <row r="58" spans="1:10">
      <c r="A58" s="152"/>
      <c r="B58" s="152"/>
      <c r="C58" s="152"/>
      <c r="D58" s="152"/>
      <c r="E58" s="152"/>
      <c r="F58" s="152"/>
      <c r="G58" s="152"/>
      <c r="H58" s="152"/>
      <c r="I58" s="152"/>
      <c r="J58" s="152"/>
    </row>
    <row r="59" spans="1:10">
      <c r="A59" s="152"/>
      <c r="B59" s="152"/>
      <c r="C59" s="152"/>
      <c r="D59" s="152"/>
      <c r="E59" s="152"/>
      <c r="F59" s="152"/>
      <c r="G59" s="152"/>
      <c r="H59" s="152"/>
      <c r="I59" s="152"/>
      <c r="J59" s="152"/>
    </row>
    <row r="60" spans="1:10">
      <c r="A60" s="152"/>
      <c r="B60" s="152"/>
      <c r="C60" s="152"/>
      <c r="D60" s="152"/>
      <c r="E60" s="152"/>
      <c r="F60" s="152"/>
      <c r="G60" s="152"/>
      <c r="H60" s="152"/>
      <c r="I60" s="152"/>
      <c r="J60" s="152"/>
    </row>
    <row r="61" spans="1:10">
      <c r="A61" s="152"/>
      <c r="B61" s="152"/>
      <c r="C61" s="152"/>
      <c r="D61" s="152"/>
      <c r="E61" s="152"/>
      <c r="F61" s="152"/>
      <c r="G61" s="152"/>
      <c r="H61" s="152"/>
      <c r="I61" s="152"/>
      <c r="J61" s="152"/>
    </row>
    <row r="62" spans="1:10">
      <c r="A62" s="152"/>
      <c r="B62" s="152"/>
      <c r="C62" s="152"/>
      <c r="D62" s="152"/>
      <c r="E62" s="152"/>
      <c r="F62" s="152"/>
      <c r="G62" s="152"/>
      <c r="H62" s="152"/>
      <c r="I62" s="152"/>
      <c r="J62" s="152"/>
    </row>
    <row r="63" spans="1:10">
      <c r="A63" s="152"/>
      <c r="B63" s="152"/>
      <c r="C63" s="152"/>
      <c r="D63" s="152"/>
      <c r="E63" s="152"/>
      <c r="F63" s="152"/>
      <c r="G63" s="152"/>
      <c r="H63" s="152"/>
      <c r="I63" s="152"/>
      <c r="J63" s="152"/>
    </row>
    <row r="64" spans="1:10">
      <c r="A64" s="152"/>
      <c r="B64" s="152"/>
      <c r="C64" s="152"/>
      <c r="D64" s="152"/>
      <c r="E64" s="152"/>
      <c r="F64" s="152"/>
      <c r="G64" s="152"/>
      <c r="H64" s="152"/>
      <c r="I64" s="152"/>
      <c r="J64" s="152"/>
    </row>
    <row r="65" spans="1:10">
      <c r="A65" s="152"/>
      <c r="B65" s="152"/>
      <c r="C65" s="152"/>
      <c r="D65" s="152"/>
      <c r="E65" s="152"/>
      <c r="F65" s="152"/>
      <c r="G65" s="152"/>
      <c r="H65" s="152"/>
      <c r="I65" s="152"/>
      <c r="J65" s="152"/>
    </row>
    <row r="66" spans="1:10">
      <c r="A66" s="152"/>
      <c r="B66" s="152"/>
      <c r="C66" s="152"/>
      <c r="D66" s="152"/>
      <c r="E66" s="152"/>
      <c r="F66" s="152"/>
      <c r="G66" s="152"/>
      <c r="H66" s="152"/>
      <c r="I66" s="152"/>
      <c r="J66" s="152"/>
    </row>
    <row r="67" spans="1:10">
      <c r="A67" s="152"/>
      <c r="B67" s="152"/>
      <c r="C67" s="152"/>
      <c r="D67" s="152"/>
      <c r="E67" s="152"/>
      <c r="F67" s="152"/>
      <c r="G67" s="152"/>
      <c r="H67" s="152"/>
      <c r="I67" s="152"/>
      <c r="J67" s="152"/>
    </row>
    <row r="68" spans="1:10">
      <c r="A68" s="152"/>
      <c r="B68" s="152"/>
      <c r="C68" s="152"/>
      <c r="D68" s="152"/>
      <c r="E68" s="152"/>
      <c r="F68" s="152"/>
      <c r="G68" s="152"/>
      <c r="H68" s="152"/>
      <c r="I68" s="152"/>
      <c r="J68" s="152"/>
    </row>
    <row r="69" spans="1:10" ht="18">
      <c r="A69" s="153" t="s">
        <v>2857</v>
      </c>
      <c r="B69" s="152"/>
      <c r="C69" s="152"/>
      <c r="D69" s="152"/>
      <c r="E69" s="152"/>
      <c r="F69" s="152"/>
      <c r="G69" s="152"/>
      <c r="H69" s="152"/>
      <c r="I69" s="152"/>
      <c r="J69" s="152"/>
    </row>
    <row r="70" spans="1:10">
      <c r="A70" s="152"/>
      <c r="B70" s="152"/>
      <c r="C70" s="152"/>
      <c r="D70" s="152"/>
      <c r="E70" s="152"/>
      <c r="F70" s="152"/>
      <c r="G70" s="152"/>
      <c r="H70" s="152"/>
      <c r="I70" s="152"/>
      <c r="J70" s="152"/>
    </row>
    <row r="71" spans="1:10">
      <c r="A71" s="152"/>
      <c r="B71" s="152"/>
      <c r="C71" s="152"/>
      <c r="D71" s="152"/>
      <c r="E71" s="152"/>
      <c r="F71" s="152"/>
      <c r="G71" s="152"/>
      <c r="H71" s="152"/>
      <c r="I71" s="152"/>
      <c r="J71" s="152"/>
    </row>
    <row r="72" spans="1:10">
      <c r="A72" s="152"/>
      <c r="B72" s="152"/>
      <c r="C72" s="152"/>
      <c r="D72" s="152"/>
      <c r="E72" s="152"/>
      <c r="F72" s="152"/>
      <c r="G72" s="152"/>
      <c r="H72" s="152"/>
      <c r="I72" s="152"/>
      <c r="J72" s="152"/>
    </row>
    <row r="73" spans="1:10">
      <c r="A73" s="152"/>
      <c r="B73" s="152"/>
      <c r="C73" s="152"/>
      <c r="D73" s="152"/>
      <c r="E73" s="152"/>
      <c r="F73" s="152"/>
      <c r="G73" s="152"/>
      <c r="H73" s="152"/>
      <c r="I73" s="152"/>
      <c r="J73" s="152"/>
    </row>
    <row r="74" spans="1:10">
      <c r="A74" s="152"/>
      <c r="B74" s="152"/>
      <c r="C74" s="152"/>
      <c r="D74" s="152"/>
      <c r="E74" s="152"/>
      <c r="F74" s="152"/>
      <c r="G74" s="152"/>
      <c r="H74" s="152"/>
      <c r="I74" s="152"/>
      <c r="J74" s="152"/>
    </row>
    <row r="75" spans="1:10">
      <c r="A75" s="152"/>
      <c r="B75" s="152"/>
      <c r="C75" s="152"/>
      <c r="D75" s="152"/>
      <c r="E75" s="152"/>
      <c r="F75" s="152"/>
      <c r="G75" s="152"/>
      <c r="H75" s="152"/>
      <c r="I75" s="152"/>
      <c r="J75" s="152"/>
    </row>
    <row r="76" spans="1:10">
      <c r="A76" s="152"/>
      <c r="B76" s="152"/>
      <c r="C76" s="152"/>
      <c r="D76" s="152"/>
      <c r="E76" s="152"/>
      <c r="F76" s="152"/>
      <c r="G76" s="152"/>
      <c r="H76" s="152"/>
      <c r="I76" s="152"/>
      <c r="J76" s="152"/>
    </row>
    <row r="77" spans="1:10">
      <c r="A77" s="152"/>
      <c r="B77" s="152"/>
      <c r="C77" s="152"/>
      <c r="D77" s="152"/>
      <c r="E77" s="152"/>
      <c r="F77" s="152"/>
      <c r="G77" s="152"/>
      <c r="H77" s="152"/>
      <c r="I77" s="152"/>
      <c r="J77" s="152"/>
    </row>
    <row r="78" spans="1:10">
      <c r="A78" s="152"/>
      <c r="B78" s="152"/>
      <c r="C78" s="152"/>
      <c r="D78" s="152"/>
      <c r="E78" s="152"/>
      <c r="F78" s="152"/>
      <c r="G78" s="152"/>
      <c r="H78" s="152"/>
      <c r="I78" s="152"/>
      <c r="J78" s="152"/>
    </row>
    <row r="79" spans="1:10">
      <c r="A79" s="152"/>
      <c r="B79" s="152"/>
      <c r="C79" s="152"/>
      <c r="D79" s="152"/>
      <c r="E79" s="152"/>
      <c r="F79" s="152"/>
      <c r="G79" s="152"/>
      <c r="H79" s="152"/>
      <c r="I79" s="152"/>
      <c r="J79" s="152"/>
    </row>
    <row r="80" spans="1:10">
      <c r="A80" s="152"/>
      <c r="B80" s="152"/>
      <c r="C80" s="152"/>
      <c r="D80" s="152"/>
      <c r="E80" s="152"/>
      <c r="F80" s="152"/>
      <c r="G80" s="152"/>
      <c r="H80" s="152"/>
      <c r="I80" s="152"/>
      <c r="J80" s="152"/>
    </row>
    <row r="81" spans="1:10">
      <c r="A81" s="152"/>
      <c r="B81" s="152"/>
      <c r="C81" s="152"/>
      <c r="D81" s="152"/>
      <c r="E81" s="152"/>
      <c r="F81" s="152"/>
      <c r="G81" s="152"/>
      <c r="H81" s="152"/>
      <c r="I81" s="152"/>
      <c r="J81" s="152"/>
    </row>
    <row r="82" spans="1:10">
      <c r="A82" s="152"/>
      <c r="B82" s="152"/>
      <c r="C82" s="152"/>
      <c r="D82" s="152"/>
      <c r="E82" s="152"/>
      <c r="F82" s="152"/>
      <c r="G82" s="152"/>
      <c r="H82" s="152"/>
      <c r="I82" s="152"/>
      <c r="J82" s="152"/>
    </row>
    <row r="83" spans="1:10">
      <c r="A83" s="152"/>
      <c r="B83" s="152"/>
      <c r="C83" s="152"/>
      <c r="D83" s="152"/>
      <c r="E83" s="152"/>
      <c r="F83" s="152"/>
      <c r="G83" s="152"/>
      <c r="H83" s="152"/>
      <c r="I83" s="152"/>
      <c r="J83" s="152"/>
    </row>
    <row r="84" spans="1:10" ht="18">
      <c r="A84" s="153" t="s">
        <v>2783</v>
      </c>
      <c r="B84" s="152"/>
      <c r="C84" s="152"/>
      <c r="D84" s="152"/>
      <c r="E84" s="152"/>
      <c r="F84" s="152"/>
      <c r="G84" s="152"/>
      <c r="H84" s="152"/>
      <c r="I84" s="152"/>
      <c r="J84" s="152"/>
    </row>
    <row r="85" spans="1:10">
      <c r="A85" s="152"/>
      <c r="B85" s="152"/>
      <c r="C85" s="152"/>
      <c r="D85" s="152"/>
      <c r="E85" s="152"/>
      <c r="F85" s="152"/>
      <c r="G85" s="152"/>
      <c r="H85" s="152"/>
      <c r="I85" s="152"/>
      <c r="J85" s="152"/>
    </row>
    <row r="86" spans="1:10">
      <c r="A86" s="152"/>
      <c r="B86" s="152"/>
      <c r="C86" s="152"/>
      <c r="D86" s="152"/>
      <c r="E86" s="152"/>
      <c r="F86" s="152"/>
      <c r="G86" s="152"/>
      <c r="H86" s="152"/>
      <c r="I86" s="152"/>
      <c r="J86" s="152"/>
    </row>
    <row r="87" spans="1:10">
      <c r="A87" s="152"/>
      <c r="B87" s="152"/>
      <c r="C87" s="152"/>
      <c r="D87" s="152"/>
      <c r="E87" s="152"/>
      <c r="F87" s="152"/>
      <c r="G87" s="152"/>
      <c r="H87" s="152"/>
      <c r="I87" s="152"/>
      <c r="J87" s="152"/>
    </row>
    <row r="88" spans="1:10">
      <c r="A88" s="152"/>
      <c r="B88" s="152"/>
      <c r="C88" s="152"/>
      <c r="D88" s="152"/>
      <c r="E88" s="152"/>
      <c r="F88" s="152"/>
      <c r="G88" s="152"/>
      <c r="H88" s="152"/>
      <c r="I88" s="152"/>
      <c r="J88" s="152"/>
    </row>
    <row r="89" spans="1:10">
      <c r="A89" s="152"/>
      <c r="B89" s="152"/>
      <c r="C89" s="152"/>
      <c r="D89" s="152"/>
      <c r="E89" s="152"/>
      <c r="F89" s="152"/>
      <c r="G89" s="152"/>
      <c r="H89" s="152"/>
      <c r="I89" s="152"/>
      <c r="J89" s="152"/>
    </row>
    <row r="90" spans="1:10">
      <c r="A90" s="152"/>
      <c r="B90" s="152"/>
      <c r="C90" s="152"/>
      <c r="D90" s="152"/>
      <c r="E90" s="152"/>
      <c r="F90" s="152"/>
      <c r="G90" s="152"/>
      <c r="H90" s="152"/>
      <c r="I90" s="152"/>
      <c r="J90" s="152"/>
    </row>
    <row r="91" spans="1:10">
      <c r="A91" s="152"/>
      <c r="B91" s="152"/>
      <c r="C91" s="152"/>
      <c r="D91" s="152"/>
      <c r="E91" s="152"/>
      <c r="F91" s="152"/>
      <c r="G91" s="152"/>
      <c r="H91" s="152"/>
      <c r="I91" s="152"/>
      <c r="J91" s="152"/>
    </row>
    <row r="92" spans="1:10">
      <c r="A92" s="152"/>
      <c r="B92" s="152"/>
      <c r="C92" s="152"/>
      <c r="D92" s="152"/>
      <c r="E92" s="152"/>
      <c r="F92" s="152"/>
      <c r="G92" s="152"/>
      <c r="H92" s="152"/>
      <c r="I92" s="152"/>
      <c r="J92" s="152"/>
    </row>
    <row r="93" spans="1:10">
      <c r="A93" s="152"/>
      <c r="B93" s="152"/>
      <c r="C93" s="152"/>
      <c r="D93" s="152"/>
      <c r="E93" s="152"/>
      <c r="F93" s="152"/>
      <c r="G93" s="152"/>
      <c r="H93" s="152"/>
      <c r="I93" s="152"/>
      <c r="J93" s="152"/>
    </row>
    <row r="94" spans="1:10">
      <c r="A94" s="152"/>
      <c r="B94" s="152"/>
      <c r="C94" s="152"/>
      <c r="D94" s="152"/>
      <c r="E94" s="152"/>
      <c r="F94" s="152"/>
      <c r="G94" s="152"/>
      <c r="H94" s="152"/>
      <c r="I94" s="152"/>
      <c r="J94" s="152"/>
    </row>
    <row r="95" spans="1:10">
      <c r="A95" s="152"/>
      <c r="B95" s="152"/>
      <c r="C95" s="152"/>
      <c r="D95" s="152"/>
      <c r="E95" s="152"/>
      <c r="F95" s="152"/>
      <c r="G95" s="152"/>
      <c r="H95" s="152"/>
      <c r="I95" s="152"/>
      <c r="J95" s="152"/>
    </row>
    <row r="96" spans="1:10">
      <c r="A96" s="152"/>
      <c r="B96" s="152"/>
      <c r="C96" s="152"/>
      <c r="D96" s="152"/>
      <c r="E96" s="152"/>
      <c r="F96" s="152"/>
      <c r="G96" s="152"/>
      <c r="H96" s="152"/>
      <c r="I96" s="152"/>
      <c r="J96" s="152"/>
    </row>
    <row r="97" spans="1:10">
      <c r="A97" s="152"/>
      <c r="B97" s="152"/>
      <c r="C97" s="152"/>
      <c r="D97" s="152"/>
      <c r="E97" s="152"/>
      <c r="F97" s="152"/>
      <c r="G97" s="152"/>
      <c r="H97" s="152"/>
      <c r="I97" s="152"/>
      <c r="J97" s="152"/>
    </row>
    <row r="98" spans="1:10">
      <c r="A98" s="152"/>
      <c r="B98" s="152"/>
      <c r="C98" s="152"/>
      <c r="D98" s="152"/>
      <c r="E98" s="152"/>
      <c r="F98" s="152"/>
      <c r="G98" s="152"/>
      <c r="H98" s="152"/>
      <c r="I98" s="152"/>
      <c r="J98" s="152"/>
    </row>
    <row r="99" spans="1:10">
      <c r="A99" s="152"/>
      <c r="B99" s="152"/>
      <c r="C99" s="152"/>
      <c r="D99" s="152"/>
      <c r="E99" s="152"/>
      <c r="F99" s="152"/>
      <c r="G99" s="152"/>
      <c r="H99" s="152"/>
      <c r="I99" s="152"/>
      <c r="J99" s="152"/>
    </row>
    <row r="100" spans="1:10">
      <c r="A100" s="152"/>
      <c r="B100" s="152"/>
      <c r="C100" s="152"/>
      <c r="D100" s="152"/>
      <c r="E100" s="152"/>
      <c r="F100" s="152"/>
      <c r="G100" s="152"/>
      <c r="H100" s="152"/>
      <c r="I100" s="152"/>
      <c r="J100" s="152"/>
    </row>
    <row r="101" spans="1:10">
      <c r="A101" s="152"/>
      <c r="B101" s="152"/>
      <c r="C101" s="152"/>
      <c r="D101" s="152"/>
      <c r="E101" s="152"/>
      <c r="F101" s="152"/>
      <c r="G101" s="152"/>
      <c r="H101" s="152"/>
      <c r="I101" s="152"/>
      <c r="J101" s="152"/>
    </row>
  </sheetData>
  <pageMargins left="0.7" right="0.7" top="0.75" bottom="0.75" header="0.3" footer="0.3"/>
  <pageSetup scale="87"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3" tint="-0.499984740745262"/>
  </sheetPr>
  <dimension ref="A1:D640"/>
  <sheetViews>
    <sheetView workbookViewId="0"/>
  </sheetViews>
  <sheetFormatPr defaultColWidth="9" defaultRowHeight="14.25"/>
  <cols>
    <col min="1" max="2" width="38.625" customWidth="1"/>
    <col min="3" max="3" width="17.25" customWidth="1"/>
    <col min="4" max="4" width="14.625" customWidth="1"/>
  </cols>
  <sheetData>
    <row r="1" spans="1:4" s="111" customFormat="1" ht="15">
      <c r="A1" s="111" t="s">
        <v>1985</v>
      </c>
      <c r="B1" s="111" t="s">
        <v>2679</v>
      </c>
      <c r="C1" s="111" t="s">
        <v>1984</v>
      </c>
      <c r="D1" s="111" t="s">
        <v>2676</v>
      </c>
    </row>
    <row r="2" spans="1:4">
      <c r="A2" t="s">
        <v>15</v>
      </c>
      <c r="B2" t="str">
        <f>SUBSTITUTE(SUBSTITUTE(SUBSTITUTE(SUBSTITUTE(SUBSTITUTE(WA_CDPs[[#This Row],[NAME]]," Tribal Community CDP, Washington","")," CDP, Washington","")," city, Washington","")," town, Washington","")," village, Washington","")</f>
        <v>Aberdeen</v>
      </c>
      <c r="C2" t="s">
        <v>1274</v>
      </c>
      <c r="D2" t="s">
        <v>14</v>
      </c>
    </row>
    <row r="3" spans="1:4">
      <c r="A3" t="s">
        <v>17</v>
      </c>
      <c r="B3" t="str">
        <f>SUBSTITUTE(SUBSTITUTE(SUBSTITUTE(SUBSTITUTE(SUBSTITUTE(WA_CDPs[[#This Row],[NAME]]," Tribal Community CDP, Washington","")," CDP, Washington","")," city, Washington","")," town, Washington","")," village, Washington","")</f>
        <v>Aberdeen Gardens</v>
      </c>
      <c r="C3" t="s">
        <v>1275</v>
      </c>
      <c r="D3" t="s">
        <v>16</v>
      </c>
    </row>
    <row r="4" spans="1:4">
      <c r="A4" t="s">
        <v>19</v>
      </c>
      <c r="B4" t="str">
        <f>SUBSTITUTE(SUBSTITUTE(SUBSTITUTE(SUBSTITUTE(SUBSTITUTE(WA_CDPs[[#This Row],[NAME]]," Tribal Community CDP, Washington","")," CDP, Washington","")," city, Washington","")," town, Washington","")," village, Washington","")</f>
        <v>Acme</v>
      </c>
      <c r="C4" t="s">
        <v>1276</v>
      </c>
      <c r="D4" t="s">
        <v>18</v>
      </c>
    </row>
    <row r="5" spans="1:4">
      <c r="A5" t="s">
        <v>21</v>
      </c>
      <c r="B5" t="str">
        <f>SUBSTITUTE(SUBSTITUTE(SUBSTITUTE(SUBSTITUTE(SUBSTITUTE(WA_CDPs[[#This Row],[NAME]]," Tribal Community CDP, Washington","")," CDP, Washington","")," city, Washington","")," town, Washington","")," village, Washington","")</f>
        <v>Addy</v>
      </c>
      <c r="C5" t="s">
        <v>1277</v>
      </c>
      <c r="D5" t="s">
        <v>20</v>
      </c>
    </row>
    <row r="6" spans="1:4">
      <c r="A6" t="s">
        <v>23</v>
      </c>
      <c r="B6" t="str">
        <f>SUBSTITUTE(SUBSTITUTE(SUBSTITUTE(SUBSTITUTE(SUBSTITUTE(WA_CDPs[[#This Row],[NAME]]," Tribal Community CDP, Washington","")," CDP, Washington","")," city, Washington","")," town, Washington","")," village, Washington","")</f>
        <v>Ahtanum</v>
      </c>
      <c r="C6" t="s">
        <v>1278</v>
      </c>
      <c r="D6" t="s">
        <v>22</v>
      </c>
    </row>
    <row r="7" spans="1:4">
      <c r="A7" t="s">
        <v>25</v>
      </c>
      <c r="B7" t="str">
        <f>SUBSTITUTE(SUBSTITUTE(SUBSTITUTE(SUBSTITUTE(SUBSTITUTE(WA_CDPs[[#This Row],[NAME]]," Tribal Community CDP, Washington","")," CDP, Washington","")," city, Washington","")," town, Washington","")," village, Washington","")</f>
        <v>Airway Heights</v>
      </c>
      <c r="C7" t="s">
        <v>1279</v>
      </c>
      <c r="D7" t="s">
        <v>24</v>
      </c>
    </row>
    <row r="8" spans="1:4">
      <c r="A8" t="s">
        <v>27</v>
      </c>
      <c r="B8" t="str">
        <f>SUBSTITUTE(SUBSTITUTE(SUBSTITUTE(SUBSTITUTE(SUBSTITUTE(WA_CDPs[[#This Row],[NAME]]," Tribal Community CDP, Washington","")," CDP, Washington","")," city, Washington","")," town, Washington","")," village, Washington","")</f>
        <v>Albion</v>
      </c>
      <c r="C8" t="s">
        <v>1280</v>
      </c>
      <c r="D8" t="s">
        <v>26</v>
      </c>
    </row>
    <row r="9" spans="1:4">
      <c r="A9" t="s">
        <v>29</v>
      </c>
      <c r="B9" t="str">
        <f>SUBSTITUTE(SUBSTITUTE(SUBSTITUTE(SUBSTITUTE(SUBSTITUTE(WA_CDPs[[#This Row],[NAME]]," Tribal Community CDP, Washington","")," CDP, Washington","")," city, Washington","")," town, Washington","")," village, Washington","")</f>
        <v>Alder</v>
      </c>
      <c r="C9" t="s">
        <v>1281</v>
      </c>
      <c r="D9" t="s">
        <v>28</v>
      </c>
    </row>
    <row r="10" spans="1:4">
      <c r="A10" t="s">
        <v>31</v>
      </c>
      <c r="B10" t="str">
        <f>SUBSTITUTE(SUBSTITUTE(SUBSTITUTE(SUBSTITUTE(SUBSTITUTE(WA_CDPs[[#This Row],[NAME]]," Tribal Community CDP, Washington","")," CDP, Washington","")," city, Washington","")," town, Washington","")," village, Washington","")</f>
        <v>Alderton</v>
      </c>
      <c r="C10" t="s">
        <v>1282</v>
      </c>
      <c r="D10" t="s">
        <v>30</v>
      </c>
    </row>
    <row r="11" spans="1:4">
      <c r="A11" t="s">
        <v>33</v>
      </c>
      <c r="B11" t="str">
        <f>SUBSTITUTE(SUBSTITUTE(SUBSTITUTE(SUBSTITUTE(SUBSTITUTE(WA_CDPs[[#This Row],[NAME]]," Tribal Community CDP, Washington","")," CDP, Washington","")," city, Washington","")," town, Washington","")," village, Washington","")</f>
        <v>Alderwood Manor</v>
      </c>
      <c r="C11" t="s">
        <v>1283</v>
      </c>
      <c r="D11" t="s">
        <v>32</v>
      </c>
    </row>
    <row r="12" spans="1:4">
      <c r="A12" t="s">
        <v>35</v>
      </c>
      <c r="B12" t="str">
        <f>SUBSTITUTE(SUBSTITUTE(SUBSTITUTE(SUBSTITUTE(SUBSTITUTE(WA_CDPs[[#This Row],[NAME]]," Tribal Community CDP, Washington","")," CDP, Washington","")," city, Washington","")," town, Washington","")," village, Washington","")</f>
        <v>Alger</v>
      </c>
      <c r="C12" t="s">
        <v>1284</v>
      </c>
      <c r="D12" t="s">
        <v>34</v>
      </c>
    </row>
    <row r="13" spans="1:4">
      <c r="A13" t="s">
        <v>37</v>
      </c>
      <c r="B13" t="str">
        <f>SUBSTITUTE(SUBSTITUTE(SUBSTITUTE(SUBSTITUTE(SUBSTITUTE(WA_CDPs[[#This Row],[NAME]]," Tribal Community CDP, Washington","")," CDP, Washington","")," city, Washington","")," town, Washington","")," village, Washington","")</f>
        <v>Algona</v>
      </c>
      <c r="C13" t="s">
        <v>1285</v>
      </c>
      <c r="D13" t="s">
        <v>36</v>
      </c>
    </row>
    <row r="14" spans="1:4">
      <c r="A14" t="s">
        <v>39</v>
      </c>
      <c r="B14" t="str">
        <f>SUBSTITUTE(SUBSTITUTE(SUBSTITUTE(SUBSTITUTE(SUBSTITUTE(WA_CDPs[[#This Row],[NAME]]," Tribal Community CDP, Washington","")," CDP, Washington","")," city, Washington","")," town, Washington","")," village, Washington","")</f>
        <v>Allyn</v>
      </c>
      <c r="C14" t="s">
        <v>1286</v>
      </c>
      <c r="D14" t="s">
        <v>38</v>
      </c>
    </row>
    <row r="15" spans="1:4">
      <c r="A15" t="s">
        <v>41</v>
      </c>
      <c r="B15" t="str">
        <f>SUBSTITUTE(SUBSTITUTE(SUBSTITUTE(SUBSTITUTE(SUBSTITUTE(WA_CDPs[[#This Row],[NAME]]," Tribal Community CDP, Washington","")," CDP, Washington","")," city, Washington","")," town, Washington","")," village, Washington","")</f>
        <v>Almira</v>
      </c>
      <c r="C15" t="s">
        <v>1287</v>
      </c>
      <c r="D15" t="s">
        <v>40</v>
      </c>
    </row>
    <row r="16" spans="1:4">
      <c r="A16" t="s">
        <v>43</v>
      </c>
      <c r="B16" t="str">
        <f>SUBSTITUTE(SUBSTITUTE(SUBSTITUTE(SUBSTITUTE(SUBSTITUTE(WA_CDPs[[#This Row],[NAME]]," Tribal Community CDP, Washington","")," CDP, Washington","")," city, Washington","")," town, Washington","")," village, Washington","")</f>
        <v>Altoona</v>
      </c>
      <c r="C16" t="s">
        <v>1288</v>
      </c>
      <c r="D16" t="s">
        <v>42</v>
      </c>
    </row>
    <row r="17" spans="1:4">
      <c r="A17" t="s">
        <v>45</v>
      </c>
      <c r="B17" t="str">
        <f>SUBSTITUTE(SUBSTITUTE(SUBSTITUTE(SUBSTITUTE(SUBSTITUTE(WA_CDPs[[#This Row],[NAME]]," Tribal Community CDP, Washington","")," CDP, Washington","")," city, Washington","")," town, Washington","")," village, Washington","")</f>
        <v>Amanda Park</v>
      </c>
      <c r="C17" t="s">
        <v>1289</v>
      </c>
      <c r="D17" t="s">
        <v>44</v>
      </c>
    </row>
    <row r="18" spans="1:4">
      <c r="A18" t="s">
        <v>47</v>
      </c>
      <c r="B18" t="str">
        <f>SUBSTITUTE(SUBSTITUTE(SUBSTITUTE(SUBSTITUTE(SUBSTITUTE(WA_CDPs[[#This Row],[NAME]]," Tribal Community CDP, Washington","")," CDP, Washington","")," city, Washington","")," town, Washington","")," village, Washington","")</f>
        <v>Amboy</v>
      </c>
      <c r="C18" t="s">
        <v>1290</v>
      </c>
      <c r="D18" t="s">
        <v>46</v>
      </c>
    </row>
    <row r="19" spans="1:4">
      <c r="A19" t="s">
        <v>49</v>
      </c>
      <c r="B19" t="str">
        <f>SUBSTITUTE(SUBSTITUTE(SUBSTITUTE(SUBSTITUTE(SUBSTITUTE(WA_CDPs[[#This Row],[NAME]]," Tribal Community CDP, Washington","")," CDP, Washington","")," city, Washington","")," town, Washington","")," village, Washington","")</f>
        <v>Ames Lake</v>
      </c>
      <c r="C19" t="s">
        <v>1291</v>
      </c>
      <c r="D19" t="s">
        <v>48</v>
      </c>
    </row>
    <row r="20" spans="1:4">
      <c r="A20" t="s">
        <v>51</v>
      </c>
      <c r="B20" t="str">
        <f>SUBSTITUTE(SUBSTITUTE(SUBSTITUTE(SUBSTITUTE(SUBSTITUTE(WA_CDPs[[#This Row],[NAME]]," Tribal Community CDP, Washington","")," CDP, Washington","")," city, Washington","")," town, Washington","")," village, Washington","")</f>
        <v>Anacortes</v>
      </c>
      <c r="C20" t="s">
        <v>1292</v>
      </c>
      <c r="D20" t="s">
        <v>50</v>
      </c>
    </row>
    <row r="21" spans="1:4">
      <c r="A21" t="s">
        <v>2429</v>
      </c>
      <c r="B21" t="str">
        <f>SUBSTITUTE(SUBSTITUTE(SUBSTITUTE(SUBSTITUTE(SUBSTITUTE(WA_CDPs[[#This Row],[NAME]]," Tribal Community CDP, Washington","")," CDP, Washington","")," city, Washington","")," town, Washington","")," village, Washington","")</f>
        <v>Anatone</v>
      </c>
      <c r="C21" t="s">
        <v>2428</v>
      </c>
      <c r="D21" t="e">
        <v>#N/A</v>
      </c>
    </row>
    <row r="22" spans="1:4">
      <c r="A22" t="s">
        <v>53</v>
      </c>
      <c r="B22" t="str">
        <f>SUBSTITUTE(SUBSTITUTE(SUBSTITUTE(SUBSTITUTE(SUBSTITUTE(WA_CDPs[[#This Row],[NAME]]," Tribal Community CDP, Washington","")," CDP, Washington","")," city, Washington","")," town, Washington","")," village, Washington","")</f>
        <v>Anderson Island</v>
      </c>
      <c r="C22" t="s">
        <v>1293</v>
      </c>
      <c r="D22" t="s">
        <v>52</v>
      </c>
    </row>
    <row r="23" spans="1:4">
      <c r="A23" t="s">
        <v>55</v>
      </c>
      <c r="B23" t="str">
        <f>SUBSTITUTE(SUBSTITUTE(SUBSTITUTE(SUBSTITUTE(SUBSTITUTE(WA_CDPs[[#This Row],[NAME]]," Tribal Community CDP, Washington","")," CDP, Washington","")," city, Washington","")," town, Washington","")," village, Washington","")</f>
        <v>Arlington</v>
      </c>
      <c r="C23" t="s">
        <v>1294</v>
      </c>
      <c r="D23" t="s">
        <v>54</v>
      </c>
    </row>
    <row r="24" spans="1:4">
      <c r="A24" t="s">
        <v>57</v>
      </c>
      <c r="B24" t="str">
        <f>SUBSTITUTE(SUBSTITUTE(SUBSTITUTE(SUBSTITUTE(SUBSTITUTE(WA_CDPs[[#This Row],[NAME]]," Tribal Community CDP, Washington","")," CDP, Washington","")," city, Washington","")," town, Washington","")," village, Washington","")</f>
        <v>Arlington Heights</v>
      </c>
      <c r="C24" t="s">
        <v>1295</v>
      </c>
      <c r="D24" t="s">
        <v>56</v>
      </c>
    </row>
    <row r="25" spans="1:4">
      <c r="A25" t="s">
        <v>59</v>
      </c>
      <c r="B25" t="str">
        <f>SUBSTITUTE(SUBSTITUTE(SUBSTITUTE(SUBSTITUTE(SUBSTITUTE(WA_CDPs[[#This Row],[NAME]]," Tribal Community CDP, Washington","")," CDP, Washington","")," city, Washington","")," town, Washington","")," village, Washington","")</f>
        <v>Artondale</v>
      </c>
      <c r="C25" t="s">
        <v>1296</v>
      </c>
      <c r="D25" t="s">
        <v>58</v>
      </c>
    </row>
    <row r="26" spans="1:4">
      <c r="A26" t="s">
        <v>61</v>
      </c>
      <c r="B26" t="str">
        <f>SUBSTITUTE(SUBSTITUTE(SUBSTITUTE(SUBSTITUTE(SUBSTITUTE(WA_CDPs[[#This Row],[NAME]]," Tribal Community CDP, Washington","")," CDP, Washington","")," city, Washington","")," town, Washington","")," village, Washington","")</f>
        <v>Ashford</v>
      </c>
      <c r="C26" t="s">
        <v>1297</v>
      </c>
      <c r="D26" t="s">
        <v>60</v>
      </c>
    </row>
    <row r="27" spans="1:4">
      <c r="A27" t="s">
        <v>63</v>
      </c>
      <c r="B27" t="str">
        <f>SUBSTITUTE(SUBSTITUTE(SUBSTITUTE(SUBSTITUTE(SUBSTITUTE(WA_CDPs[[#This Row],[NAME]]," Tribal Community CDP, Washington","")," CDP, Washington","")," city, Washington","")," town, Washington","")," village, Washington","")</f>
        <v>Asotin</v>
      </c>
      <c r="C27" t="s">
        <v>1298</v>
      </c>
      <c r="D27" t="s">
        <v>62</v>
      </c>
    </row>
    <row r="28" spans="1:4">
      <c r="A28" t="s">
        <v>65</v>
      </c>
      <c r="B28" t="str">
        <f>SUBSTITUTE(SUBSTITUTE(SUBSTITUTE(SUBSTITUTE(SUBSTITUTE(WA_CDPs[[#This Row],[NAME]]," Tribal Community CDP, Washington","")," CDP, Washington","")," city, Washington","")," town, Washington","")," village, Washington","")</f>
        <v>Auburn</v>
      </c>
      <c r="C28" t="s">
        <v>1299</v>
      </c>
      <c r="D28" t="s">
        <v>64</v>
      </c>
    </row>
    <row r="29" spans="1:4">
      <c r="A29" t="s">
        <v>67</v>
      </c>
      <c r="B29" t="str">
        <f>SUBSTITUTE(SUBSTITUTE(SUBSTITUTE(SUBSTITUTE(SUBSTITUTE(WA_CDPs[[#This Row],[NAME]]," Tribal Community CDP, Washington","")," CDP, Washington","")," city, Washington","")," town, Washington","")," village, Washington","")</f>
        <v>Bainbridge Island</v>
      </c>
      <c r="C29" t="s">
        <v>1300</v>
      </c>
      <c r="D29" t="s">
        <v>66</v>
      </c>
    </row>
    <row r="30" spans="1:4">
      <c r="A30" t="s">
        <v>69</v>
      </c>
      <c r="B30" t="str">
        <f>SUBSTITUTE(SUBSTITUTE(SUBSTITUTE(SUBSTITUTE(SUBSTITUTE(WA_CDPs[[#This Row],[NAME]]," Tribal Community CDP, Washington","")," CDP, Washington","")," city, Washington","")," town, Washington","")," village, Washington","")</f>
        <v>Bangor Base</v>
      </c>
      <c r="C30" t="s">
        <v>1301</v>
      </c>
      <c r="D30" t="s">
        <v>68</v>
      </c>
    </row>
    <row r="31" spans="1:4">
      <c r="A31" t="s">
        <v>71</v>
      </c>
      <c r="B31" t="str">
        <f>SUBSTITUTE(SUBSTITUTE(SUBSTITUTE(SUBSTITUTE(SUBSTITUTE(WA_CDPs[[#This Row],[NAME]]," Tribal Community CDP, Washington","")," CDP, Washington","")," city, Washington","")," town, Washington","")," village, Washington","")</f>
        <v>Banks Lake South</v>
      </c>
      <c r="C31" t="s">
        <v>1302</v>
      </c>
      <c r="D31" t="s">
        <v>70</v>
      </c>
    </row>
    <row r="32" spans="1:4">
      <c r="A32" t="s">
        <v>73</v>
      </c>
      <c r="B32" t="str">
        <f>SUBSTITUTE(SUBSTITUTE(SUBSTITUTE(SUBSTITUTE(SUBSTITUTE(WA_CDPs[[#This Row],[NAME]]," Tribal Community CDP, Washington","")," CDP, Washington","")," city, Washington","")," town, Washington","")," village, Washington","")</f>
        <v>Barberton</v>
      </c>
      <c r="C32" t="s">
        <v>1303</v>
      </c>
      <c r="D32" t="s">
        <v>72</v>
      </c>
    </row>
    <row r="33" spans="1:4">
      <c r="A33" t="s">
        <v>75</v>
      </c>
      <c r="B33" t="str">
        <f>SUBSTITUTE(SUBSTITUTE(SUBSTITUTE(SUBSTITUTE(SUBSTITUTE(WA_CDPs[[#This Row],[NAME]]," Tribal Community CDP, Washington","")," CDP, Washington","")," city, Washington","")," town, Washington","")," village, Washington","")</f>
        <v>Baring</v>
      </c>
      <c r="C33" t="s">
        <v>1304</v>
      </c>
      <c r="D33" t="s">
        <v>74</v>
      </c>
    </row>
    <row r="34" spans="1:4">
      <c r="A34" t="s">
        <v>77</v>
      </c>
      <c r="B34" t="str">
        <f>SUBSTITUTE(SUBSTITUTE(SUBSTITUTE(SUBSTITUTE(SUBSTITUTE(WA_CDPs[[#This Row],[NAME]]," Tribal Community CDP, Washington","")," CDP, Washington","")," city, Washington","")," town, Washington","")," village, Washington","")</f>
        <v>Barney's Junction</v>
      </c>
      <c r="C34" t="s">
        <v>1305</v>
      </c>
      <c r="D34" t="s">
        <v>76</v>
      </c>
    </row>
    <row r="35" spans="1:4">
      <c r="A35" t="s">
        <v>79</v>
      </c>
      <c r="B35" t="str">
        <f>SUBSTITUTE(SUBSTITUTE(SUBSTITUTE(SUBSTITUTE(SUBSTITUTE(WA_CDPs[[#This Row],[NAME]]," Tribal Community CDP, Washington","")," CDP, Washington","")," city, Washington","")," town, Washington","")," village, Washington","")</f>
        <v>Barstow</v>
      </c>
      <c r="C35" t="s">
        <v>1306</v>
      </c>
      <c r="D35" t="s">
        <v>78</v>
      </c>
    </row>
    <row r="36" spans="1:4">
      <c r="A36" t="s">
        <v>81</v>
      </c>
      <c r="B36" t="str">
        <f>SUBSTITUTE(SUBSTITUTE(SUBSTITUTE(SUBSTITUTE(SUBSTITUTE(WA_CDPs[[#This Row],[NAME]]," Tribal Community CDP, Washington","")," CDP, Washington","")," city, Washington","")," town, Washington","")," village, Washington","")</f>
        <v>Basin City</v>
      </c>
      <c r="C36" t="s">
        <v>1307</v>
      </c>
      <c r="D36" t="s">
        <v>80</v>
      </c>
    </row>
    <row r="37" spans="1:4">
      <c r="A37" t="s">
        <v>83</v>
      </c>
      <c r="B37" t="str">
        <f>SUBSTITUTE(SUBSTITUTE(SUBSTITUTE(SUBSTITUTE(SUBSTITUTE(WA_CDPs[[#This Row],[NAME]]," Tribal Community CDP, Washington","")," CDP, Washington","")," city, Washington","")," town, Washington","")," village, Washington","")</f>
        <v>Battle Ground</v>
      </c>
      <c r="C37" t="s">
        <v>1308</v>
      </c>
      <c r="D37" t="s">
        <v>82</v>
      </c>
    </row>
    <row r="38" spans="1:4">
      <c r="A38" t="s">
        <v>85</v>
      </c>
      <c r="B38" t="str">
        <f>SUBSTITUTE(SUBSTITUTE(SUBSTITUTE(SUBSTITUTE(SUBSTITUTE(WA_CDPs[[#This Row],[NAME]]," Tribal Community CDP, Washington","")," CDP, Washington","")," city, Washington","")," town, Washington","")," village, Washington","")</f>
        <v>Bay Center</v>
      </c>
      <c r="C38" t="s">
        <v>1309</v>
      </c>
      <c r="D38" t="s">
        <v>84</v>
      </c>
    </row>
    <row r="39" spans="1:4">
      <c r="A39" t="s">
        <v>87</v>
      </c>
      <c r="B39" t="str">
        <f>SUBSTITUTE(SUBSTITUTE(SUBSTITUTE(SUBSTITUTE(SUBSTITUTE(WA_CDPs[[#This Row],[NAME]]," Tribal Community CDP, Washington","")," CDP, Washington","")," city, Washington","")," town, Washington","")," village, Washington","")</f>
        <v>Bay View</v>
      </c>
      <c r="C39" t="s">
        <v>1310</v>
      </c>
      <c r="D39" t="s">
        <v>86</v>
      </c>
    </row>
    <row r="40" spans="1:4">
      <c r="A40" t="s">
        <v>2431</v>
      </c>
      <c r="B40" t="str">
        <f>SUBSTITUTE(SUBSTITUTE(SUBSTITUTE(SUBSTITUTE(SUBSTITUTE(WA_CDPs[[#This Row],[NAME]]," Tribal Community CDP, Washington","")," CDP, Washington","")," city, Washington","")," town, Washington","")," village, Washington","")</f>
        <v>Beacon Hill</v>
      </c>
      <c r="C40" t="s">
        <v>2430</v>
      </c>
      <c r="D40" t="e">
        <v>#N/A</v>
      </c>
    </row>
    <row r="41" spans="1:4">
      <c r="A41" t="s">
        <v>89</v>
      </c>
      <c r="B41" t="str">
        <f>SUBSTITUTE(SUBSTITUTE(SUBSTITUTE(SUBSTITUTE(SUBSTITUTE(WA_CDPs[[#This Row],[NAME]]," Tribal Community CDP, Washington","")," CDP, Washington","")," city, Washington","")," town, Washington","")," village, Washington","")</f>
        <v>Beaux Arts Village</v>
      </c>
      <c r="C41" t="s">
        <v>1311</v>
      </c>
      <c r="D41" t="s">
        <v>88</v>
      </c>
    </row>
    <row r="42" spans="1:4">
      <c r="A42" t="s">
        <v>91</v>
      </c>
      <c r="B42" t="str">
        <f>SUBSTITUTE(SUBSTITUTE(SUBSTITUTE(SUBSTITUTE(SUBSTITUTE(WA_CDPs[[#This Row],[NAME]]," Tribal Community CDP, Washington","")," CDP, Washington","")," city, Washington","")," town, Washington","")," village, Washington","")</f>
        <v>Belfair</v>
      </c>
      <c r="C42" t="s">
        <v>1312</v>
      </c>
      <c r="D42" t="s">
        <v>90</v>
      </c>
    </row>
    <row r="43" spans="1:4">
      <c r="A43" t="s">
        <v>93</v>
      </c>
      <c r="B43" t="str">
        <f>SUBSTITUTE(SUBSTITUTE(SUBSTITUTE(SUBSTITUTE(SUBSTITUTE(WA_CDPs[[#This Row],[NAME]]," Tribal Community CDP, Washington","")," CDP, Washington","")," city, Washington","")," town, Washington","")," village, Washington","")</f>
        <v>Bellevue</v>
      </c>
      <c r="C43" t="s">
        <v>1313</v>
      </c>
      <c r="D43" t="s">
        <v>92</v>
      </c>
    </row>
    <row r="44" spans="1:4">
      <c r="A44" t="s">
        <v>95</v>
      </c>
      <c r="B44" t="str">
        <f>SUBSTITUTE(SUBSTITUTE(SUBSTITUTE(SUBSTITUTE(SUBSTITUTE(WA_CDPs[[#This Row],[NAME]]," Tribal Community CDP, Washington","")," CDP, Washington","")," city, Washington","")," town, Washington","")," village, Washington","")</f>
        <v>Bell Hill</v>
      </c>
      <c r="C44" t="s">
        <v>1314</v>
      </c>
      <c r="D44" t="s">
        <v>94</v>
      </c>
    </row>
    <row r="45" spans="1:4">
      <c r="A45" t="s">
        <v>97</v>
      </c>
      <c r="B45" t="str">
        <f>SUBSTITUTE(SUBSTITUTE(SUBSTITUTE(SUBSTITUTE(SUBSTITUTE(WA_CDPs[[#This Row],[NAME]]," Tribal Community CDP, Washington","")," CDP, Washington","")," city, Washington","")," town, Washington","")," village, Washington","")</f>
        <v>Bellingham</v>
      </c>
      <c r="C45" t="s">
        <v>1315</v>
      </c>
      <c r="D45" t="s">
        <v>96</v>
      </c>
    </row>
    <row r="46" spans="1:4">
      <c r="A46" t="s">
        <v>99</v>
      </c>
      <c r="B46" t="str">
        <f>SUBSTITUTE(SUBSTITUTE(SUBSTITUTE(SUBSTITUTE(SUBSTITUTE(WA_CDPs[[#This Row],[NAME]]," Tribal Community CDP, Washington","")," CDP, Washington","")," city, Washington","")," town, Washington","")," village, Washington","")</f>
        <v>Benton City</v>
      </c>
      <c r="C46" t="s">
        <v>1316</v>
      </c>
      <c r="D46" t="s">
        <v>98</v>
      </c>
    </row>
    <row r="47" spans="1:4">
      <c r="A47" t="s">
        <v>101</v>
      </c>
      <c r="B47" t="str">
        <f>SUBSTITUTE(SUBSTITUTE(SUBSTITUTE(SUBSTITUTE(SUBSTITUTE(WA_CDPs[[#This Row],[NAME]]," Tribal Community CDP, Washington","")," CDP, Washington","")," city, Washington","")," town, Washington","")," village, Washington","")</f>
        <v>Bethel</v>
      </c>
      <c r="C47" t="s">
        <v>1317</v>
      </c>
      <c r="D47" t="s">
        <v>100</v>
      </c>
    </row>
    <row r="48" spans="1:4">
      <c r="A48" t="s">
        <v>2433</v>
      </c>
      <c r="B48" t="str">
        <f>SUBSTITUTE(SUBSTITUTE(SUBSTITUTE(SUBSTITUTE(SUBSTITUTE(WA_CDPs[[#This Row],[NAME]]," Tribal Community CDP, Washington","")," CDP, Washington","")," city, Washington","")," town, Washington","")," village, Washington","")</f>
        <v>Beverly</v>
      </c>
      <c r="C48" t="s">
        <v>2432</v>
      </c>
      <c r="D48" t="e">
        <v>#N/A</v>
      </c>
    </row>
    <row r="49" spans="1:4">
      <c r="A49" t="s">
        <v>103</v>
      </c>
      <c r="B49" t="str">
        <f>SUBSTITUTE(SUBSTITUTE(SUBSTITUTE(SUBSTITUTE(SUBSTITUTE(WA_CDPs[[#This Row],[NAME]]," Tribal Community CDP, Washington","")," CDP, Washington","")," city, Washington","")," town, Washington","")," village, Washington","")</f>
        <v>Bickleton</v>
      </c>
      <c r="C49" t="s">
        <v>1318</v>
      </c>
      <c r="D49" t="s">
        <v>102</v>
      </c>
    </row>
    <row r="50" spans="1:4">
      <c r="A50" t="s">
        <v>105</v>
      </c>
      <c r="B50" t="str">
        <f>SUBSTITUTE(SUBSTITUTE(SUBSTITUTE(SUBSTITUTE(SUBSTITUTE(WA_CDPs[[#This Row],[NAME]]," Tribal Community CDP, Washington","")," CDP, Washington","")," city, Washington","")," town, Washington","")," village, Washington","")</f>
        <v>Big Lake</v>
      </c>
      <c r="C50" t="s">
        <v>1319</v>
      </c>
      <c r="D50" t="s">
        <v>104</v>
      </c>
    </row>
    <row r="51" spans="1:4">
      <c r="A51" t="s">
        <v>107</v>
      </c>
      <c r="B51" t="str">
        <f>SUBSTITUTE(SUBSTITUTE(SUBSTITUTE(SUBSTITUTE(SUBSTITUTE(WA_CDPs[[#This Row],[NAME]]," Tribal Community CDP, Washington","")," CDP, Washington","")," city, Washington","")," town, Washington","")," village, Washington","")</f>
        <v>Bingen</v>
      </c>
      <c r="C51" t="s">
        <v>1320</v>
      </c>
      <c r="D51" t="s">
        <v>106</v>
      </c>
    </row>
    <row r="52" spans="1:4">
      <c r="A52" t="s">
        <v>109</v>
      </c>
      <c r="B52" t="str">
        <f>SUBSTITUTE(SUBSTITUTE(SUBSTITUTE(SUBSTITUTE(SUBSTITUTE(WA_CDPs[[#This Row],[NAME]]," Tribal Community CDP, Washington","")," CDP, Washington","")," city, Washington","")," town, Washington","")," village, Washington","")</f>
        <v>Birch Bay</v>
      </c>
      <c r="C52" t="s">
        <v>1321</v>
      </c>
      <c r="D52" t="s">
        <v>108</v>
      </c>
    </row>
    <row r="53" spans="1:4">
      <c r="A53" t="s">
        <v>111</v>
      </c>
      <c r="B53" t="str">
        <f>SUBSTITUTE(SUBSTITUTE(SUBSTITUTE(SUBSTITUTE(SUBSTITUTE(WA_CDPs[[#This Row],[NAME]]," Tribal Community CDP, Washington","")," CDP, Washington","")," city, Washington","")," town, Washington","")," village, Washington","")</f>
        <v>Black Diamond</v>
      </c>
      <c r="C53" t="s">
        <v>1322</v>
      </c>
      <c r="D53" t="s">
        <v>110</v>
      </c>
    </row>
    <row r="54" spans="1:4">
      <c r="A54" t="s">
        <v>113</v>
      </c>
      <c r="B54" t="str">
        <f>SUBSTITUTE(SUBSTITUTE(SUBSTITUTE(SUBSTITUTE(SUBSTITUTE(WA_CDPs[[#This Row],[NAME]]," Tribal Community CDP, Washington","")," CDP, Washington","")," city, Washington","")," town, Washington","")," village, Washington","")</f>
        <v>Blaine</v>
      </c>
      <c r="C54" t="s">
        <v>1323</v>
      </c>
      <c r="D54" t="s">
        <v>112</v>
      </c>
    </row>
    <row r="55" spans="1:4">
      <c r="A55" t="s">
        <v>115</v>
      </c>
      <c r="B55" t="str">
        <f>SUBSTITUTE(SUBSTITUTE(SUBSTITUTE(SUBSTITUTE(SUBSTITUTE(WA_CDPs[[#This Row],[NAME]]," Tribal Community CDP, Washington","")," CDP, Washington","")," city, Washington","")," town, Washington","")," village, Washington","")</f>
        <v>Blyn</v>
      </c>
      <c r="C55" t="s">
        <v>1324</v>
      </c>
      <c r="D55" t="s">
        <v>114</v>
      </c>
    </row>
    <row r="56" spans="1:4">
      <c r="A56" t="s">
        <v>117</v>
      </c>
      <c r="B56" t="str">
        <f>SUBSTITUTE(SUBSTITUTE(SUBSTITUTE(SUBSTITUTE(SUBSTITUTE(WA_CDPs[[#This Row],[NAME]]," Tribal Community CDP, Washington","")," CDP, Washington","")," city, Washington","")," town, Washington","")," village, Washington","")</f>
        <v>Bonney Lake</v>
      </c>
      <c r="C56" t="s">
        <v>1325</v>
      </c>
      <c r="D56" t="s">
        <v>116</v>
      </c>
    </row>
    <row r="57" spans="1:4">
      <c r="A57" t="s">
        <v>119</v>
      </c>
      <c r="B57" t="str">
        <f>SUBSTITUTE(SUBSTITUTE(SUBSTITUTE(SUBSTITUTE(SUBSTITUTE(WA_CDPs[[#This Row],[NAME]]," Tribal Community CDP, Washington","")," CDP, Washington","")," city, Washington","")," town, Washington","")," village, Washington","")</f>
        <v>Bothell</v>
      </c>
      <c r="C57" t="s">
        <v>1326</v>
      </c>
      <c r="D57" t="s">
        <v>118</v>
      </c>
    </row>
    <row r="58" spans="1:4">
      <c r="A58" t="s">
        <v>121</v>
      </c>
      <c r="B58" t="str">
        <f>SUBSTITUTE(SUBSTITUTE(SUBSTITUTE(SUBSTITUTE(SUBSTITUTE(WA_CDPs[[#This Row],[NAME]]," Tribal Community CDP, Washington","")," CDP, Washington","")," city, Washington","")," town, Washington","")," village, Washington","")</f>
        <v>Bothell East</v>
      </c>
      <c r="C58" t="s">
        <v>1327</v>
      </c>
      <c r="D58" t="s">
        <v>120</v>
      </c>
    </row>
    <row r="59" spans="1:4">
      <c r="A59" t="s">
        <v>123</v>
      </c>
      <c r="B59" t="str">
        <f>SUBSTITUTE(SUBSTITUTE(SUBSTITUTE(SUBSTITUTE(SUBSTITUTE(WA_CDPs[[#This Row],[NAME]]," Tribal Community CDP, Washington","")," CDP, Washington","")," city, Washington","")," town, Washington","")," village, Washington","")</f>
        <v>Bothell West</v>
      </c>
      <c r="C59" t="s">
        <v>1328</v>
      </c>
      <c r="D59" t="s">
        <v>122</v>
      </c>
    </row>
    <row r="60" spans="1:4">
      <c r="A60" t="s">
        <v>125</v>
      </c>
      <c r="B60" t="str">
        <f>SUBSTITUTE(SUBSTITUTE(SUBSTITUTE(SUBSTITUTE(SUBSTITUTE(WA_CDPs[[#This Row],[NAME]]," Tribal Community CDP, Washington","")," CDP, Washington","")," city, Washington","")," town, Washington","")," village, Washington","")</f>
        <v>Boulevard Park</v>
      </c>
      <c r="C60" t="s">
        <v>1329</v>
      </c>
      <c r="D60" t="s">
        <v>124</v>
      </c>
    </row>
    <row r="61" spans="1:4">
      <c r="A61" t="s">
        <v>2435</v>
      </c>
      <c r="B61" t="str">
        <f>SUBSTITUTE(SUBSTITUTE(SUBSTITUTE(SUBSTITUTE(SUBSTITUTE(WA_CDPs[[#This Row],[NAME]]," Tribal Community CDP, Washington","")," CDP, Washington","")," city, Washington","")," town, Washington","")," village, Washington","")</f>
        <v>Bow</v>
      </c>
      <c r="C61" t="s">
        <v>2434</v>
      </c>
      <c r="D61" t="e">
        <v>#N/A</v>
      </c>
    </row>
    <row r="62" spans="1:4">
      <c r="A62" t="s">
        <v>127</v>
      </c>
      <c r="B62" t="str">
        <f>SUBSTITUTE(SUBSTITUTE(SUBSTITUTE(SUBSTITUTE(SUBSTITUTE(WA_CDPs[[#This Row],[NAME]]," Tribal Community CDP, Washington","")," CDP, Washington","")," city, Washington","")," town, Washington","")," village, Washington","")</f>
        <v>Boyds</v>
      </c>
      <c r="C62" t="s">
        <v>1330</v>
      </c>
      <c r="D62" t="s">
        <v>126</v>
      </c>
    </row>
    <row r="63" spans="1:4">
      <c r="A63" t="s">
        <v>129</v>
      </c>
      <c r="B63" t="str">
        <f>SUBSTITUTE(SUBSTITUTE(SUBSTITUTE(SUBSTITUTE(SUBSTITUTE(WA_CDPs[[#This Row],[NAME]]," Tribal Community CDP, Washington","")," CDP, Washington","")," city, Washington","")," town, Washington","")," village, Washington","")</f>
        <v>Brady</v>
      </c>
      <c r="C63" t="s">
        <v>1331</v>
      </c>
      <c r="D63" t="s">
        <v>128</v>
      </c>
    </row>
    <row r="64" spans="1:4">
      <c r="A64" t="s">
        <v>131</v>
      </c>
      <c r="B64" t="str">
        <f>SUBSTITUTE(SUBSTITUTE(SUBSTITUTE(SUBSTITUTE(SUBSTITUTE(WA_CDPs[[#This Row],[NAME]]," Tribal Community CDP, Washington","")," CDP, Washington","")," city, Washington","")," town, Washington","")," village, Washington","")</f>
        <v>Bremerton</v>
      </c>
      <c r="C64" t="s">
        <v>1332</v>
      </c>
      <c r="D64" t="s">
        <v>130</v>
      </c>
    </row>
    <row r="65" spans="1:4">
      <c r="A65" t="s">
        <v>133</v>
      </c>
      <c r="B65" t="str">
        <f>SUBSTITUTE(SUBSTITUTE(SUBSTITUTE(SUBSTITUTE(SUBSTITUTE(WA_CDPs[[#This Row],[NAME]]," Tribal Community CDP, Washington","")," CDP, Washington","")," city, Washington","")," town, Washington","")," village, Washington","")</f>
        <v>Brewster</v>
      </c>
      <c r="C65" t="s">
        <v>1333</v>
      </c>
      <c r="D65" t="s">
        <v>132</v>
      </c>
    </row>
    <row r="66" spans="1:4">
      <c r="A66" t="s">
        <v>135</v>
      </c>
      <c r="B66" t="str">
        <f>SUBSTITUTE(SUBSTITUTE(SUBSTITUTE(SUBSTITUTE(SUBSTITUTE(WA_CDPs[[#This Row],[NAME]]," Tribal Community CDP, Washington","")," CDP, Washington","")," city, Washington","")," town, Washington","")," village, Washington","")</f>
        <v>Bridgeport</v>
      </c>
      <c r="C66" t="s">
        <v>1334</v>
      </c>
      <c r="D66" t="s">
        <v>134</v>
      </c>
    </row>
    <row r="67" spans="1:4">
      <c r="A67" t="s">
        <v>137</v>
      </c>
      <c r="B67" t="str">
        <f>SUBSTITUTE(SUBSTITUTE(SUBSTITUTE(SUBSTITUTE(SUBSTITUTE(WA_CDPs[[#This Row],[NAME]]," Tribal Community CDP, Washington","")," CDP, Washington","")," city, Washington","")," town, Washington","")," village, Washington","")</f>
        <v>Brier</v>
      </c>
      <c r="C67" t="s">
        <v>1335</v>
      </c>
      <c r="D67" t="s">
        <v>136</v>
      </c>
    </row>
    <row r="68" spans="1:4">
      <c r="A68" t="s">
        <v>139</v>
      </c>
      <c r="B68" t="str">
        <f>SUBSTITUTE(SUBSTITUTE(SUBSTITUTE(SUBSTITUTE(SUBSTITUTE(WA_CDPs[[#This Row],[NAME]]," Tribal Community CDP, Washington","")," CDP, Washington","")," city, Washington","")," town, Washington","")," village, Washington","")</f>
        <v>Brinnon</v>
      </c>
      <c r="C68" t="s">
        <v>1336</v>
      </c>
      <c r="D68" t="s">
        <v>138</v>
      </c>
    </row>
    <row r="69" spans="1:4">
      <c r="A69" t="s">
        <v>141</v>
      </c>
      <c r="B69" t="str">
        <f>SUBSTITUTE(SUBSTITUTE(SUBSTITUTE(SUBSTITUTE(SUBSTITUTE(WA_CDPs[[#This Row],[NAME]]," Tribal Community CDP, Washington","")," CDP, Washington","")," city, Washington","")," town, Washington","")," village, Washington","")</f>
        <v>Browns Point</v>
      </c>
      <c r="C69" t="s">
        <v>1337</v>
      </c>
      <c r="D69" t="s">
        <v>140</v>
      </c>
    </row>
    <row r="70" spans="1:4">
      <c r="A70" t="s">
        <v>143</v>
      </c>
      <c r="B70" t="str">
        <f>SUBSTITUTE(SUBSTITUTE(SUBSTITUTE(SUBSTITUTE(SUBSTITUTE(WA_CDPs[[#This Row],[NAME]]," Tribal Community CDP, Washington","")," CDP, Washington","")," city, Washington","")," town, Washington","")," village, Washington","")</f>
        <v>Brush Prairie</v>
      </c>
      <c r="C70" t="s">
        <v>1338</v>
      </c>
      <c r="D70" t="s">
        <v>142</v>
      </c>
    </row>
    <row r="71" spans="1:4">
      <c r="A71" t="s">
        <v>145</v>
      </c>
      <c r="B71" t="str">
        <f>SUBSTITUTE(SUBSTITUTE(SUBSTITUTE(SUBSTITUTE(SUBSTITUTE(WA_CDPs[[#This Row],[NAME]]," Tribal Community CDP, Washington","")," CDP, Washington","")," city, Washington","")," town, Washington","")," village, Washington","")</f>
        <v>Bryant</v>
      </c>
      <c r="C71" t="s">
        <v>1339</v>
      </c>
      <c r="D71" t="s">
        <v>144</v>
      </c>
    </row>
    <row r="72" spans="1:4">
      <c r="A72" t="s">
        <v>147</v>
      </c>
      <c r="B72" t="str">
        <f>SUBSTITUTE(SUBSTITUTE(SUBSTITUTE(SUBSTITUTE(SUBSTITUTE(WA_CDPs[[#This Row],[NAME]]," Tribal Community CDP, Washington","")," CDP, Washington","")," city, Washington","")," town, Washington","")," village, Washington","")</f>
        <v>Bryn Mawr-Skyway</v>
      </c>
      <c r="C72" t="s">
        <v>1340</v>
      </c>
      <c r="D72" t="s">
        <v>146</v>
      </c>
    </row>
    <row r="73" spans="1:4">
      <c r="A73" t="s">
        <v>149</v>
      </c>
      <c r="B73" t="str">
        <f>SUBSTITUTE(SUBSTITUTE(SUBSTITUTE(SUBSTITUTE(SUBSTITUTE(WA_CDPs[[#This Row],[NAME]]," Tribal Community CDP, Washington","")," CDP, Washington","")," city, Washington","")," town, Washington","")," village, Washington","")</f>
        <v>Buckley</v>
      </c>
      <c r="C73" t="s">
        <v>1341</v>
      </c>
      <c r="D73" t="s">
        <v>148</v>
      </c>
    </row>
    <row r="74" spans="1:4">
      <c r="A74" t="s">
        <v>151</v>
      </c>
      <c r="B74" t="str">
        <f>SUBSTITUTE(SUBSTITUTE(SUBSTITUTE(SUBSTITUTE(SUBSTITUTE(WA_CDPs[[#This Row],[NAME]]," Tribal Community CDP, Washington","")," CDP, Washington","")," city, Washington","")," town, Washington","")," village, Washington","")</f>
        <v>Bucoda</v>
      </c>
      <c r="C74" t="s">
        <v>1342</v>
      </c>
      <c r="D74" t="s">
        <v>150</v>
      </c>
    </row>
    <row r="75" spans="1:4">
      <c r="A75" t="s">
        <v>153</v>
      </c>
      <c r="B75" t="str">
        <f>SUBSTITUTE(SUBSTITUTE(SUBSTITUTE(SUBSTITUTE(SUBSTITUTE(WA_CDPs[[#This Row],[NAME]]," Tribal Community CDP, Washington","")," CDP, Washington","")," city, Washington","")," town, Washington","")," village, Washington","")</f>
        <v>Buena</v>
      </c>
      <c r="C75" t="s">
        <v>1343</v>
      </c>
      <c r="D75" t="s">
        <v>152</v>
      </c>
    </row>
    <row r="76" spans="1:4">
      <c r="A76" t="s">
        <v>155</v>
      </c>
      <c r="B76" t="str">
        <f>SUBSTITUTE(SUBSTITUTE(SUBSTITUTE(SUBSTITUTE(SUBSTITUTE(WA_CDPs[[#This Row],[NAME]]," Tribal Community CDP, Washington","")," CDP, Washington","")," city, Washington","")," town, Washington","")," village, Washington","")</f>
        <v>Bunk Foss</v>
      </c>
      <c r="C76" t="s">
        <v>1344</v>
      </c>
      <c r="D76" t="s">
        <v>154</v>
      </c>
    </row>
    <row r="77" spans="1:4">
      <c r="A77" t="s">
        <v>157</v>
      </c>
      <c r="B77" t="str">
        <f>SUBSTITUTE(SUBSTITUTE(SUBSTITUTE(SUBSTITUTE(SUBSTITUTE(WA_CDPs[[#This Row],[NAME]]," Tribal Community CDP, Washington","")," CDP, Washington","")," city, Washington","")," town, Washington","")," village, Washington","")</f>
        <v>Burbank</v>
      </c>
      <c r="C77" t="s">
        <v>1345</v>
      </c>
      <c r="D77" t="s">
        <v>156</v>
      </c>
    </row>
    <row r="78" spans="1:4">
      <c r="A78" t="s">
        <v>159</v>
      </c>
      <c r="B78" t="str">
        <f>SUBSTITUTE(SUBSTITUTE(SUBSTITUTE(SUBSTITUTE(SUBSTITUTE(WA_CDPs[[#This Row],[NAME]]," Tribal Community CDP, Washington","")," CDP, Washington","")," city, Washington","")," town, Washington","")," village, Washington","")</f>
        <v>Burien</v>
      </c>
      <c r="C78" t="s">
        <v>1346</v>
      </c>
      <c r="D78" t="s">
        <v>158</v>
      </c>
    </row>
    <row r="79" spans="1:4">
      <c r="A79" t="s">
        <v>161</v>
      </c>
      <c r="B79" t="str">
        <f>SUBSTITUTE(SUBSTITUTE(SUBSTITUTE(SUBSTITUTE(SUBSTITUTE(WA_CDPs[[#This Row],[NAME]]," Tribal Community CDP, Washington","")," CDP, Washington","")," city, Washington","")," town, Washington","")," village, Washington","")</f>
        <v>Burley</v>
      </c>
      <c r="C79" t="s">
        <v>1347</v>
      </c>
      <c r="D79" t="s">
        <v>160</v>
      </c>
    </row>
    <row r="80" spans="1:4">
      <c r="A80" t="s">
        <v>163</v>
      </c>
      <c r="B80" t="str">
        <f>SUBSTITUTE(SUBSTITUTE(SUBSTITUTE(SUBSTITUTE(SUBSTITUTE(WA_CDPs[[#This Row],[NAME]]," Tribal Community CDP, Washington","")," CDP, Washington","")," city, Washington","")," town, Washington","")," village, Washington","")</f>
        <v>Burlington</v>
      </c>
      <c r="C80" t="s">
        <v>1348</v>
      </c>
      <c r="D80" t="s">
        <v>162</v>
      </c>
    </row>
    <row r="81" spans="1:4">
      <c r="A81" t="s">
        <v>165</v>
      </c>
      <c r="B81" t="str">
        <f>SUBSTITUTE(SUBSTITUTE(SUBSTITUTE(SUBSTITUTE(SUBSTITUTE(WA_CDPs[[#This Row],[NAME]]," Tribal Community CDP, Washington","")," CDP, Washington","")," city, Washington","")," town, Washington","")," village, Washington","")</f>
        <v>Camano</v>
      </c>
      <c r="C81" t="s">
        <v>1349</v>
      </c>
      <c r="D81" t="s">
        <v>164</v>
      </c>
    </row>
    <row r="82" spans="1:4">
      <c r="A82" t="s">
        <v>167</v>
      </c>
      <c r="B82" t="str">
        <f>SUBSTITUTE(SUBSTITUTE(SUBSTITUTE(SUBSTITUTE(SUBSTITUTE(WA_CDPs[[#This Row],[NAME]]," Tribal Community CDP, Washington","")," CDP, Washington","")," city, Washington","")," town, Washington","")," village, Washington","")</f>
        <v>Camas</v>
      </c>
      <c r="C82" t="s">
        <v>1350</v>
      </c>
      <c r="D82" t="s">
        <v>166</v>
      </c>
    </row>
    <row r="83" spans="1:4">
      <c r="A83" t="s">
        <v>169</v>
      </c>
      <c r="B83" t="str">
        <f>SUBSTITUTE(SUBSTITUTE(SUBSTITUTE(SUBSTITUTE(SUBSTITUTE(WA_CDPs[[#This Row],[NAME]]," Tribal Community CDP, Washington","")," CDP, Washington","")," city, Washington","")," town, Washington","")," village, Washington","")</f>
        <v>Canterwood</v>
      </c>
      <c r="C83" t="s">
        <v>1351</v>
      </c>
      <c r="D83" t="s">
        <v>168</v>
      </c>
    </row>
    <row r="84" spans="1:4">
      <c r="A84" t="s">
        <v>171</v>
      </c>
      <c r="B84" t="str">
        <f>SUBSTITUTE(SUBSTITUTE(SUBSTITUTE(SUBSTITUTE(SUBSTITUTE(WA_CDPs[[#This Row],[NAME]]," Tribal Community CDP, Washington","")," CDP, Washington","")," city, Washington","")," town, Washington","")," village, Washington","")</f>
        <v>Canyon Creek</v>
      </c>
      <c r="C84" t="s">
        <v>1352</v>
      </c>
      <c r="D84" t="s">
        <v>170</v>
      </c>
    </row>
    <row r="85" spans="1:4">
      <c r="A85" t="s">
        <v>173</v>
      </c>
      <c r="B85" t="str">
        <f>SUBSTITUTE(SUBSTITUTE(SUBSTITUTE(SUBSTITUTE(SUBSTITUTE(WA_CDPs[[#This Row],[NAME]]," Tribal Community CDP, Washington","")," CDP, Washington","")," city, Washington","")," town, Washington","")," village, Washington","")</f>
        <v>Carbonado</v>
      </c>
      <c r="C85" t="s">
        <v>1353</v>
      </c>
      <c r="D85" t="s">
        <v>172</v>
      </c>
    </row>
    <row r="86" spans="1:4">
      <c r="A86" t="s">
        <v>175</v>
      </c>
      <c r="B86" t="str">
        <f>SUBSTITUTE(SUBSTITUTE(SUBSTITUTE(SUBSTITUTE(SUBSTITUTE(WA_CDPs[[#This Row],[NAME]]," Tribal Community CDP, Washington","")," CDP, Washington","")," city, Washington","")," town, Washington","")," village, Washington","")</f>
        <v>Carlsborg</v>
      </c>
      <c r="C86" t="s">
        <v>1354</v>
      </c>
      <c r="D86" t="s">
        <v>174</v>
      </c>
    </row>
    <row r="87" spans="1:4">
      <c r="A87" t="s">
        <v>177</v>
      </c>
      <c r="B87" t="str">
        <f>SUBSTITUTE(SUBSTITUTE(SUBSTITUTE(SUBSTITUTE(SUBSTITUTE(WA_CDPs[[#This Row],[NAME]]," Tribal Community CDP, Washington","")," CDP, Washington","")," city, Washington","")," town, Washington","")," village, Washington","")</f>
        <v>Carnation</v>
      </c>
      <c r="C87" t="s">
        <v>1355</v>
      </c>
      <c r="D87" t="s">
        <v>176</v>
      </c>
    </row>
    <row r="88" spans="1:4">
      <c r="A88" t="s">
        <v>179</v>
      </c>
      <c r="B88" t="str">
        <f>SUBSTITUTE(SUBSTITUTE(SUBSTITUTE(SUBSTITUTE(SUBSTITUTE(WA_CDPs[[#This Row],[NAME]]," Tribal Community CDP, Washington","")," CDP, Washington","")," city, Washington","")," town, Washington","")," village, Washington","")</f>
        <v>Carson</v>
      </c>
      <c r="C88" t="s">
        <v>1356</v>
      </c>
      <c r="D88" t="s">
        <v>178</v>
      </c>
    </row>
    <row r="89" spans="1:4">
      <c r="A89" t="s">
        <v>181</v>
      </c>
      <c r="B89" t="str">
        <f>SUBSTITUTE(SUBSTITUTE(SUBSTITUTE(SUBSTITUTE(SUBSTITUTE(WA_CDPs[[#This Row],[NAME]]," Tribal Community CDP, Washington","")," CDP, Washington","")," city, Washington","")," town, Washington","")," village, Washington","")</f>
        <v>Cascade Valley</v>
      </c>
      <c r="C89" t="s">
        <v>1357</v>
      </c>
      <c r="D89" t="s">
        <v>180</v>
      </c>
    </row>
    <row r="90" spans="1:4">
      <c r="A90" t="s">
        <v>183</v>
      </c>
      <c r="B90" t="str">
        <f>SUBSTITUTE(SUBSTITUTE(SUBSTITUTE(SUBSTITUTE(SUBSTITUTE(WA_CDPs[[#This Row],[NAME]]," Tribal Community CDP, Washington","")," CDP, Washington","")," city, Washington","")," town, Washington","")," village, Washington","")</f>
        <v>Cashmere</v>
      </c>
      <c r="C90" t="s">
        <v>1358</v>
      </c>
      <c r="D90" t="s">
        <v>182</v>
      </c>
    </row>
    <row r="91" spans="1:4">
      <c r="A91" t="s">
        <v>185</v>
      </c>
      <c r="B91" t="str">
        <f>SUBSTITUTE(SUBSTITUTE(SUBSTITUTE(SUBSTITUTE(SUBSTITUTE(WA_CDPs[[#This Row],[NAME]]," Tribal Community CDP, Washington","")," CDP, Washington","")," city, Washington","")," town, Washington","")," village, Washington","")</f>
        <v>Castle Rock</v>
      </c>
      <c r="C91" t="s">
        <v>1359</v>
      </c>
      <c r="D91" t="s">
        <v>184</v>
      </c>
    </row>
    <row r="92" spans="1:4">
      <c r="A92" t="s">
        <v>187</v>
      </c>
      <c r="B92" t="str">
        <f>SUBSTITUTE(SUBSTITUTE(SUBSTITUTE(SUBSTITUTE(SUBSTITUTE(WA_CDPs[[#This Row],[NAME]]," Tribal Community CDP, Washington","")," CDP, Washington","")," city, Washington","")," town, Washington","")," village, Washington","")</f>
        <v>Cathcart</v>
      </c>
      <c r="C92" t="s">
        <v>1360</v>
      </c>
      <c r="D92" t="s">
        <v>186</v>
      </c>
    </row>
    <row r="93" spans="1:4">
      <c r="A93" t="s">
        <v>189</v>
      </c>
      <c r="B93" t="str">
        <f>SUBSTITUTE(SUBSTITUTE(SUBSTITUTE(SUBSTITUTE(SUBSTITUTE(WA_CDPs[[#This Row],[NAME]]," Tribal Community CDP, Washington","")," CDP, Washington","")," city, Washington","")," town, Washington","")," village, Washington","")</f>
        <v>Cathlamet</v>
      </c>
      <c r="C93" t="s">
        <v>1361</v>
      </c>
      <c r="D93" t="s">
        <v>188</v>
      </c>
    </row>
    <row r="94" spans="1:4">
      <c r="A94" t="s">
        <v>191</v>
      </c>
      <c r="B94" t="str">
        <f>SUBSTITUTE(SUBSTITUTE(SUBSTITUTE(SUBSTITUTE(SUBSTITUTE(WA_CDPs[[#This Row],[NAME]]," Tribal Community CDP, Washington","")," CDP, Washington","")," city, Washington","")," town, Washington","")," village, Washington","")</f>
        <v>Cavalero</v>
      </c>
      <c r="C94" t="s">
        <v>1362</v>
      </c>
      <c r="D94" t="s">
        <v>190</v>
      </c>
    </row>
    <row r="95" spans="1:4">
      <c r="A95" t="s">
        <v>193</v>
      </c>
      <c r="B95" t="str">
        <f>SUBSTITUTE(SUBSTITUTE(SUBSTITUTE(SUBSTITUTE(SUBSTITUTE(WA_CDPs[[#This Row],[NAME]]," Tribal Community CDP, Washington","")," CDP, Washington","")," city, Washington","")," town, Washington","")," village, Washington","")</f>
        <v>Centerville</v>
      </c>
      <c r="C95" t="s">
        <v>1363</v>
      </c>
      <c r="D95" t="s">
        <v>192</v>
      </c>
    </row>
    <row r="96" spans="1:4">
      <c r="A96" t="s">
        <v>195</v>
      </c>
      <c r="B96" t="str">
        <f>SUBSTITUTE(SUBSTITUTE(SUBSTITUTE(SUBSTITUTE(SUBSTITUTE(WA_CDPs[[#This Row],[NAME]]," Tribal Community CDP, Washington","")," CDP, Washington","")," city, Washington","")," town, Washington","")," village, Washington","")</f>
        <v>Centralia</v>
      </c>
      <c r="C96" t="s">
        <v>1364</v>
      </c>
      <c r="D96" t="s">
        <v>194</v>
      </c>
    </row>
    <row r="97" spans="1:4">
      <c r="A97" t="s">
        <v>197</v>
      </c>
      <c r="B97" t="str">
        <f>SUBSTITUTE(SUBSTITUTE(SUBSTITUTE(SUBSTITUTE(SUBSTITUTE(WA_CDPs[[#This Row],[NAME]]," Tribal Community CDP, Washington","")," CDP, Washington","")," city, Washington","")," town, Washington","")," village, Washington","")</f>
        <v>Central Park</v>
      </c>
      <c r="C97" t="s">
        <v>1365</v>
      </c>
      <c r="D97" t="s">
        <v>196</v>
      </c>
    </row>
    <row r="98" spans="1:4">
      <c r="A98" t="s">
        <v>199</v>
      </c>
      <c r="B98" t="str">
        <f>SUBSTITUTE(SUBSTITUTE(SUBSTITUTE(SUBSTITUTE(SUBSTITUTE(WA_CDPs[[#This Row],[NAME]]," Tribal Community CDP, Washington","")," CDP, Washington","")," city, Washington","")," town, Washington","")," village, Washington","")</f>
        <v>Chain Lake</v>
      </c>
      <c r="C98" t="s">
        <v>1366</v>
      </c>
      <c r="D98" t="s">
        <v>198</v>
      </c>
    </row>
    <row r="99" spans="1:4">
      <c r="A99" t="s">
        <v>201</v>
      </c>
      <c r="B99" t="str">
        <f>SUBSTITUTE(SUBSTITUTE(SUBSTITUTE(SUBSTITUTE(SUBSTITUTE(WA_CDPs[[#This Row],[NAME]]," Tribal Community CDP, Washington","")," CDP, Washington","")," city, Washington","")," town, Washington","")," village, Washington","")</f>
        <v>Chehalis</v>
      </c>
      <c r="C99" t="s">
        <v>1367</v>
      </c>
      <c r="D99" t="s">
        <v>200</v>
      </c>
    </row>
    <row r="100" spans="1:4">
      <c r="A100" t="s">
        <v>203</v>
      </c>
      <c r="B100" t="str">
        <f>SUBSTITUTE(SUBSTITUTE(SUBSTITUTE(SUBSTITUTE(SUBSTITUTE(WA_CDPs[[#This Row],[NAME]]," Tribal Community CDP, Washington","")," CDP, Washington","")," city, Washington","")," town, Washington","")," village, Washington","")</f>
        <v>Chelan</v>
      </c>
      <c r="C100" t="s">
        <v>1368</v>
      </c>
      <c r="D100" t="s">
        <v>202</v>
      </c>
    </row>
    <row r="101" spans="1:4">
      <c r="A101" t="s">
        <v>205</v>
      </c>
      <c r="B101" t="str">
        <f>SUBSTITUTE(SUBSTITUTE(SUBSTITUTE(SUBSTITUTE(SUBSTITUTE(WA_CDPs[[#This Row],[NAME]]," Tribal Community CDP, Washington","")," CDP, Washington","")," city, Washington","")," town, Washington","")," village, Washington","")</f>
        <v>Chelan Falls</v>
      </c>
      <c r="C101" t="s">
        <v>1369</v>
      </c>
      <c r="D101" t="s">
        <v>204</v>
      </c>
    </row>
    <row r="102" spans="1:4">
      <c r="A102" t="s">
        <v>207</v>
      </c>
      <c r="B102" t="str">
        <f>SUBSTITUTE(SUBSTITUTE(SUBSTITUTE(SUBSTITUTE(SUBSTITUTE(WA_CDPs[[#This Row],[NAME]]," Tribal Community CDP, Washington","")," CDP, Washington","")," city, Washington","")," town, Washington","")," village, Washington","")</f>
        <v>Cheney</v>
      </c>
      <c r="C102" t="s">
        <v>1370</v>
      </c>
      <c r="D102" t="s">
        <v>206</v>
      </c>
    </row>
    <row r="103" spans="1:4">
      <c r="A103" t="s">
        <v>209</v>
      </c>
      <c r="B103" t="str">
        <f>SUBSTITUTE(SUBSTITUTE(SUBSTITUTE(SUBSTITUTE(SUBSTITUTE(WA_CDPs[[#This Row],[NAME]]," Tribal Community CDP, Washington","")," CDP, Washington","")," city, Washington","")," town, Washington","")," village, Washington","")</f>
        <v>Cherry Grove</v>
      </c>
      <c r="C103" t="s">
        <v>1371</v>
      </c>
      <c r="D103" t="s">
        <v>208</v>
      </c>
    </row>
    <row r="104" spans="1:4">
      <c r="A104" t="s">
        <v>211</v>
      </c>
      <c r="B104" t="str">
        <f>SUBSTITUTE(SUBSTITUTE(SUBSTITUTE(SUBSTITUTE(SUBSTITUTE(WA_CDPs[[#This Row],[NAME]]," Tribal Community CDP, Washington","")," CDP, Washington","")," city, Washington","")," town, Washington","")," village, Washington","")</f>
        <v>Chewelah</v>
      </c>
      <c r="C104" t="s">
        <v>1372</v>
      </c>
      <c r="D104" t="s">
        <v>210</v>
      </c>
    </row>
    <row r="105" spans="1:4">
      <c r="A105" t="s">
        <v>213</v>
      </c>
      <c r="B105" t="str">
        <f>SUBSTITUTE(SUBSTITUTE(SUBSTITUTE(SUBSTITUTE(SUBSTITUTE(WA_CDPs[[#This Row],[NAME]]," Tribal Community CDP, Washington","")," CDP, Washington","")," city, Washington","")," town, Washington","")," village, Washington","")</f>
        <v>Chico</v>
      </c>
      <c r="C105" t="s">
        <v>1373</v>
      </c>
      <c r="D105" t="s">
        <v>212</v>
      </c>
    </row>
    <row r="106" spans="1:4">
      <c r="A106" t="s">
        <v>215</v>
      </c>
      <c r="B106" t="str">
        <f>SUBSTITUTE(SUBSTITUTE(SUBSTITUTE(SUBSTITUTE(SUBSTITUTE(WA_CDPs[[#This Row],[NAME]]," Tribal Community CDP, Washington","")," CDP, Washington","")," city, Washington","")," town, Washington","")," village, Washington","")</f>
        <v>Chinook</v>
      </c>
      <c r="C106" t="s">
        <v>1374</v>
      </c>
      <c r="D106" t="s">
        <v>214</v>
      </c>
    </row>
    <row r="107" spans="1:4">
      <c r="A107" t="s">
        <v>217</v>
      </c>
      <c r="B107" t="str">
        <f>SUBSTITUTE(SUBSTITUTE(SUBSTITUTE(SUBSTITUTE(SUBSTITUTE(WA_CDPs[[#This Row],[NAME]]," Tribal Community CDP, Washington","")," CDP, Washington","")," city, Washington","")," town, Washington","")," village, Washington","")</f>
        <v>Clallam Bay</v>
      </c>
      <c r="C107" t="s">
        <v>1375</v>
      </c>
      <c r="D107" t="s">
        <v>216</v>
      </c>
    </row>
    <row r="108" spans="1:4">
      <c r="A108" t="s">
        <v>219</v>
      </c>
      <c r="B108" t="str">
        <f>SUBSTITUTE(SUBSTITUTE(SUBSTITUTE(SUBSTITUTE(SUBSTITUTE(WA_CDPs[[#This Row],[NAME]]," Tribal Community CDP, Washington","")," CDP, Washington","")," city, Washington","")," town, Washington","")," village, Washington","")</f>
        <v>Clarkston</v>
      </c>
      <c r="C108" t="s">
        <v>1376</v>
      </c>
      <c r="D108" t="s">
        <v>218</v>
      </c>
    </row>
    <row r="109" spans="1:4">
      <c r="A109" t="s">
        <v>221</v>
      </c>
      <c r="B109" t="str">
        <f>SUBSTITUTE(SUBSTITUTE(SUBSTITUTE(SUBSTITUTE(SUBSTITUTE(WA_CDPs[[#This Row],[NAME]]," Tribal Community CDP, Washington","")," CDP, Washington","")," city, Washington","")," town, Washington","")," village, Washington","")</f>
        <v>Clarkston Heights-Vineland</v>
      </c>
      <c r="C109" t="s">
        <v>1377</v>
      </c>
      <c r="D109" t="s">
        <v>220</v>
      </c>
    </row>
    <row r="110" spans="1:4">
      <c r="A110" t="s">
        <v>223</v>
      </c>
      <c r="B110" t="str">
        <f>SUBSTITUTE(SUBSTITUTE(SUBSTITUTE(SUBSTITUTE(SUBSTITUTE(WA_CDPs[[#This Row],[NAME]]," Tribal Community CDP, Washington","")," CDP, Washington","")," city, Washington","")," town, Washington","")," village, Washington","")</f>
        <v>Clayton</v>
      </c>
      <c r="C110" t="s">
        <v>1378</v>
      </c>
      <c r="D110" t="s">
        <v>222</v>
      </c>
    </row>
    <row r="111" spans="1:4">
      <c r="A111" t="s">
        <v>225</v>
      </c>
      <c r="B111" t="str">
        <f>SUBSTITUTE(SUBSTITUTE(SUBSTITUTE(SUBSTITUTE(SUBSTITUTE(WA_CDPs[[#This Row],[NAME]]," Tribal Community CDP, Washington","")," CDP, Washington","")," city, Washington","")," town, Washington","")," village, Washington","")</f>
        <v>Clear Lake CDP (Pierce County), Washington</v>
      </c>
      <c r="C111" t="s">
        <v>1379</v>
      </c>
      <c r="D111" t="s">
        <v>224</v>
      </c>
    </row>
    <row r="112" spans="1:4">
      <c r="A112" t="s">
        <v>227</v>
      </c>
      <c r="B112" t="str">
        <f>SUBSTITUTE(SUBSTITUTE(SUBSTITUTE(SUBSTITUTE(SUBSTITUTE(WA_CDPs[[#This Row],[NAME]]," Tribal Community CDP, Washington","")," CDP, Washington","")," city, Washington","")," town, Washington","")," village, Washington","")</f>
        <v>Clear Lake CDP (Skagit County), Washington</v>
      </c>
      <c r="C112" t="s">
        <v>1380</v>
      </c>
      <c r="D112" t="s">
        <v>226</v>
      </c>
    </row>
    <row r="113" spans="1:4">
      <c r="A113" t="s">
        <v>229</v>
      </c>
      <c r="B113" t="str">
        <f>SUBSTITUTE(SUBSTITUTE(SUBSTITUTE(SUBSTITUTE(SUBSTITUTE(WA_CDPs[[#This Row],[NAME]]," Tribal Community CDP, Washington","")," CDP, Washington","")," city, Washington","")," town, Washington","")," village, Washington","")</f>
        <v>Clearview</v>
      </c>
      <c r="C113" t="s">
        <v>1381</v>
      </c>
      <c r="D113" t="s">
        <v>228</v>
      </c>
    </row>
    <row r="114" spans="1:4">
      <c r="A114" t="s">
        <v>231</v>
      </c>
      <c r="B114" t="str">
        <f>SUBSTITUTE(SUBSTITUTE(SUBSTITUTE(SUBSTITUTE(SUBSTITUTE(WA_CDPs[[#This Row],[NAME]]," Tribal Community CDP, Washington","")," CDP, Washington","")," city, Washington","")," town, Washington","")," village, Washington","")</f>
        <v>Cle Elum</v>
      </c>
      <c r="C114" t="s">
        <v>1382</v>
      </c>
      <c r="D114" t="s">
        <v>230</v>
      </c>
    </row>
    <row r="115" spans="1:4">
      <c r="A115" t="s">
        <v>233</v>
      </c>
      <c r="B115" t="str">
        <f>SUBSTITUTE(SUBSTITUTE(SUBSTITUTE(SUBSTITUTE(SUBSTITUTE(WA_CDPs[[#This Row],[NAME]]," Tribal Community CDP, Washington","")," CDP, Washington","")," city, Washington","")," town, Washington","")," village, Washington","")</f>
        <v>Cliffdell</v>
      </c>
      <c r="C115" t="s">
        <v>1383</v>
      </c>
      <c r="D115" t="s">
        <v>232</v>
      </c>
    </row>
    <row r="116" spans="1:4">
      <c r="A116" t="s">
        <v>235</v>
      </c>
      <c r="B116" t="str">
        <f>SUBSTITUTE(SUBSTITUTE(SUBSTITUTE(SUBSTITUTE(SUBSTITUTE(WA_CDPs[[#This Row],[NAME]]," Tribal Community CDP, Washington","")," CDP, Washington","")," city, Washington","")," town, Washington","")," village, Washington","")</f>
        <v>Clinton</v>
      </c>
      <c r="C116" t="s">
        <v>1384</v>
      </c>
      <c r="D116" t="s">
        <v>234</v>
      </c>
    </row>
    <row r="117" spans="1:4">
      <c r="A117" t="s">
        <v>237</v>
      </c>
      <c r="B117" t="str">
        <f>SUBSTITUTE(SUBSTITUTE(SUBSTITUTE(SUBSTITUTE(SUBSTITUTE(WA_CDPs[[#This Row],[NAME]]," Tribal Community CDP, Washington","")," CDP, Washington","")," city, Washington","")," town, Washington","")," village, Washington","")</f>
        <v>Clover Creek</v>
      </c>
      <c r="C117" t="s">
        <v>1385</v>
      </c>
      <c r="D117" t="s">
        <v>236</v>
      </c>
    </row>
    <row r="118" spans="1:4">
      <c r="A118" t="s">
        <v>239</v>
      </c>
      <c r="B118" t="str">
        <f>SUBSTITUTE(SUBSTITUTE(SUBSTITUTE(SUBSTITUTE(SUBSTITUTE(WA_CDPs[[#This Row],[NAME]]," Tribal Community CDP, Washington","")," CDP, Washington","")," city, Washington","")," town, Washington","")," village, Washington","")</f>
        <v>Clyde Hill</v>
      </c>
      <c r="C118" t="s">
        <v>1386</v>
      </c>
      <c r="D118" t="s">
        <v>238</v>
      </c>
    </row>
    <row r="119" spans="1:4">
      <c r="A119" t="s">
        <v>241</v>
      </c>
      <c r="B119" t="str">
        <f>SUBSTITUTE(SUBSTITUTE(SUBSTITUTE(SUBSTITUTE(SUBSTITUTE(WA_CDPs[[#This Row],[NAME]]," Tribal Community CDP, Washington","")," CDP, Washington","")," city, Washington","")," town, Washington","")," village, Washington","")</f>
        <v>Cohassett Beach</v>
      </c>
      <c r="C119" t="s">
        <v>1387</v>
      </c>
      <c r="D119" t="s">
        <v>240</v>
      </c>
    </row>
    <row r="120" spans="1:4">
      <c r="A120" t="s">
        <v>243</v>
      </c>
      <c r="B120" t="str">
        <f>SUBSTITUTE(SUBSTITUTE(SUBSTITUTE(SUBSTITUTE(SUBSTITUTE(WA_CDPs[[#This Row],[NAME]]," Tribal Community CDP, Washington","")," CDP, Washington","")," city, Washington","")," town, Washington","")," village, Washington","")</f>
        <v>Colfax</v>
      </c>
      <c r="C120" t="s">
        <v>1388</v>
      </c>
      <c r="D120" t="s">
        <v>242</v>
      </c>
    </row>
    <row r="121" spans="1:4">
      <c r="A121" t="s">
        <v>245</v>
      </c>
      <c r="B121" t="str">
        <f>SUBSTITUTE(SUBSTITUTE(SUBSTITUTE(SUBSTITUTE(SUBSTITUTE(WA_CDPs[[#This Row],[NAME]]," Tribal Community CDP, Washington","")," CDP, Washington","")," city, Washington","")," town, Washington","")," village, Washington","")</f>
        <v>College Place</v>
      </c>
      <c r="C121" t="s">
        <v>1389</v>
      </c>
      <c r="D121" t="s">
        <v>244</v>
      </c>
    </row>
    <row r="122" spans="1:4">
      <c r="A122" t="s">
        <v>247</v>
      </c>
      <c r="B122" t="str">
        <f>SUBSTITUTE(SUBSTITUTE(SUBSTITUTE(SUBSTITUTE(SUBSTITUTE(WA_CDPs[[#This Row],[NAME]]," Tribal Community CDP, Washington","")," CDP, Washington","")," city, Washington","")," town, Washington","")," village, Washington","")</f>
        <v>Colton</v>
      </c>
      <c r="C122" t="s">
        <v>1390</v>
      </c>
      <c r="D122" t="s">
        <v>246</v>
      </c>
    </row>
    <row r="123" spans="1:4">
      <c r="A123" t="s">
        <v>249</v>
      </c>
      <c r="B123" t="str">
        <f>SUBSTITUTE(SUBSTITUTE(SUBSTITUTE(SUBSTITUTE(SUBSTITUTE(WA_CDPs[[#This Row],[NAME]]," Tribal Community CDP, Washington","")," CDP, Washington","")," city, Washington","")," town, Washington","")," village, Washington","")</f>
        <v>Colville</v>
      </c>
      <c r="C123" t="s">
        <v>1391</v>
      </c>
      <c r="D123" t="s">
        <v>248</v>
      </c>
    </row>
    <row r="124" spans="1:4">
      <c r="A124" t="s">
        <v>251</v>
      </c>
      <c r="B124" t="str">
        <f>SUBSTITUTE(SUBSTITUTE(SUBSTITUTE(SUBSTITUTE(SUBSTITUTE(WA_CDPs[[#This Row],[NAME]]," Tribal Community CDP, Washington","")," CDP, Washington","")," city, Washington","")," town, Washington","")," village, Washington","")</f>
        <v>Conconully</v>
      </c>
      <c r="C124" t="s">
        <v>1392</v>
      </c>
      <c r="D124" t="s">
        <v>250</v>
      </c>
    </row>
    <row r="125" spans="1:4">
      <c r="A125" t="s">
        <v>253</v>
      </c>
      <c r="B125" t="str">
        <f>SUBSTITUTE(SUBSTITUTE(SUBSTITUTE(SUBSTITUTE(SUBSTITUTE(WA_CDPs[[#This Row],[NAME]]," Tribal Community CDP, Washington","")," CDP, Washington","")," city, Washington","")," town, Washington","")," village, Washington","")</f>
        <v>Concrete</v>
      </c>
      <c r="C125" t="s">
        <v>1393</v>
      </c>
      <c r="D125" t="s">
        <v>252</v>
      </c>
    </row>
    <row r="126" spans="1:4">
      <c r="A126" t="s">
        <v>255</v>
      </c>
      <c r="B126" t="str">
        <f>SUBSTITUTE(SUBSTITUTE(SUBSTITUTE(SUBSTITUTE(SUBSTITUTE(WA_CDPs[[#This Row],[NAME]]," Tribal Community CDP, Washington","")," CDP, Washington","")," city, Washington","")," town, Washington","")," village, Washington","")</f>
        <v>Connell</v>
      </c>
      <c r="C126" t="s">
        <v>1394</v>
      </c>
      <c r="D126" t="s">
        <v>254</v>
      </c>
    </row>
    <row r="127" spans="1:4">
      <c r="A127" t="s">
        <v>257</v>
      </c>
      <c r="B127" t="str">
        <f>SUBSTITUTE(SUBSTITUTE(SUBSTITUTE(SUBSTITUTE(SUBSTITUTE(WA_CDPs[[#This Row],[NAME]]," Tribal Community CDP, Washington","")," CDP, Washington","")," city, Washington","")," town, Washington","")," village, Washington","")</f>
        <v>Conway</v>
      </c>
      <c r="C127" t="s">
        <v>1395</v>
      </c>
      <c r="D127" t="s">
        <v>256</v>
      </c>
    </row>
    <row r="128" spans="1:4">
      <c r="A128" t="s">
        <v>259</v>
      </c>
      <c r="B128" t="str">
        <f>SUBSTITUTE(SUBSTITUTE(SUBSTITUTE(SUBSTITUTE(SUBSTITUTE(WA_CDPs[[#This Row],[NAME]]," Tribal Community CDP, Washington","")," CDP, Washington","")," city, Washington","")," town, Washington","")," village, Washington","")</f>
        <v>Copalis Beach</v>
      </c>
      <c r="C128" t="s">
        <v>1396</v>
      </c>
      <c r="D128" t="s">
        <v>258</v>
      </c>
    </row>
    <row r="129" spans="1:4">
      <c r="A129" t="s">
        <v>261</v>
      </c>
      <c r="B129" t="str">
        <f>SUBSTITUTE(SUBSTITUTE(SUBSTITUTE(SUBSTITUTE(SUBSTITUTE(WA_CDPs[[#This Row],[NAME]]," Tribal Community CDP, Washington","")," CDP, Washington","")," city, Washington","")," town, Washington","")," village, Washington","")</f>
        <v>Cosmopolis</v>
      </c>
      <c r="C129" t="s">
        <v>1397</v>
      </c>
      <c r="D129" t="s">
        <v>260</v>
      </c>
    </row>
    <row r="130" spans="1:4">
      <c r="A130" t="s">
        <v>263</v>
      </c>
      <c r="B130" t="str">
        <f>SUBSTITUTE(SUBSTITUTE(SUBSTITUTE(SUBSTITUTE(SUBSTITUTE(WA_CDPs[[#This Row],[NAME]]," Tribal Community CDP, Washington","")," CDP, Washington","")," city, Washington","")," town, Washington","")," village, Washington","")</f>
        <v>Cottage Lake</v>
      </c>
      <c r="C130" t="s">
        <v>1398</v>
      </c>
      <c r="D130" t="s">
        <v>262</v>
      </c>
    </row>
    <row r="131" spans="1:4">
      <c r="A131" t="s">
        <v>2437</v>
      </c>
      <c r="B131" t="str">
        <f>SUBSTITUTE(SUBSTITUTE(SUBSTITUTE(SUBSTITUTE(SUBSTITUTE(WA_CDPs[[#This Row],[NAME]]," Tribal Community CDP, Washington","")," CDP, Washington","")," city, Washington","")," town, Washington","")," village, Washington","")</f>
        <v>Cougar</v>
      </c>
      <c r="C131" t="s">
        <v>2436</v>
      </c>
      <c r="D131" t="e">
        <v>#N/A</v>
      </c>
    </row>
    <row r="132" spans="1:4">
      <c r="A132" t="s">
        <v>265</v>
      </c>
      <c r="B132" t="str">
        <f>SUBSTITUTE(SUBSTITUTE(SUBSTITUTE(SUBSTITUTE(SUBSTITUTE(WA_CDPs[[#This Row],[NAME]]," Tribal Community CDP, Washington","")," CDP, Washington","")," city, Washington","")," town, Washington","")," village, Washington","")</f>
        <v>Coulee City</v>
      </c>
      <c r="C132" t="s">
        <v>1399</v>
      </c>
      <c r="D132" t="s">
        <v>264</v>
      </c>
    </row>
    <row r="133" spans="1:4">
      <c r="A133" t="s">
        <v>267</v>
      </c>
      <c r="B133" t="str">
        <f>SUBSTITUTE(SUBSTITUTE(SUBSTITUTE(SUBSTITUTE(SUBSTITUTE(WA_CDPs[[#This Row],[NAME]]," Tribal Community CDP, Washington","")," CDP, Washington","")," city, Washington","")," town, Washington","")," village, Washington","")</f>
        <v>Coulee Dam</v>
      </c>
      <c r="C133" t="s">
        <v>1400</v>
      </c>
      <c r="D133" t="s">
        <v>266</v>
      </c>
    </row>
    <row r="134" spans="1:4">
      <c r="A134" t="s">
        <v>269</v>
      </c>
      <c r="B134" t="str">
        <f>SUBSTITUTE(SUBSTITUTE(SUBSTITUTE(SUBSTITUTE(SUBSTITUTE(WA_CDPs[[#This Row],[NAME]]," Tribal Community CDP, Washington","")," CDP, Washington","")," city, Washington","")," town, Washington","")," village, Washington","")</f>
        <v>Country Homes</v>
      </c>
      <c r="C134" t="s">
        <v>1401</v>
      </c>
      <c r="D134" t="s">
        <v>268</v>
      </c>
    </row>
    <row r="135" spans="1:4">
      <c r="A135" t="s">
        <v>271</v>
      </c>
      <c r="B135" t="str">
        <f>SUBSTITUTE(SUBSTITUTE(SUBSTITUTE(SUBSTITUTE(SUBSTITUTE(WA_CDPs[[#This Row],[NAME]]," Tribal Community CDP, Washington","")," CDP, Washington","")," city, Washington","")," town, Washington","")," village, Washington","")</f>
        <v>Coupeville</v>
      </c>
      <c r="C135" t="s">
        <v>1402</v>
      </c>
      <c r="D135" t="s">
        <v>270</v>
      </c>
    </row>
    <row r="136" spans="1:4">
      <c r="A136" t="s">
        <v>273</v>
      </c>
      <c r="B136" t="str">
        <f>SUBSTITUTE(SUBSTITUTE(SUBSTITUTE(SUBSTITUTE(SUBSTITUTE(WA_CDPs[[#This Row],[NAME]]," Tribal Community CDP, Washington","")," CDP, Washington","")," city, Washington","")," town, Washington","")," village, Washington","")</f>
        <v>Covington</v>
      </c>
      <c r="C136" t="s">
        <v>1403</v>
      </c>
      <c r="D136" t="s">
        <v>272</v>
      </c>
    </row>
    <row r="137" spans="1:4">
      <c r="A137" t="s">
        <v>275</v>
      </c>
      <c r="B137" t="str">
        <f>SUBSTITUTE(SUBSTITUTE(SUBSTITUTE(SUBSTITUTE(SUBSTITUTE(WA_CDPs[[#This Row],[NAME]]," Tribal Community CDP, Washington","")," CDP, Washington","")," city, Washington","")," town, Washington","")," village, Washington","")</f>
        <v>Cowiche</v>
      </c>
      <c r="C137" t="s">
        <v>1404</v>
      </c>
      <c r="D137" t="s">
        <v>274</v>
      </c>
    </row>
    <row r="138" spans="1:4">
      <c r="A138" t="s">
        <v>2439</v>
      </c>
      <c r="B138" t="str">
        <f>SUBSTITUTE(SUBSTITUTE(SUBSTITUTE(SUBSTITUTE(SUBSTITUTE(WA_CDPs[[#This Row],[NAME]]," Tribal Community CDP, Washington","")," CDP, Washington","")," city, Washington","")," town, Washington","")," village, Washington","")</f>
        <v>Crescent Bar</v>
      </c>
      <c r="C138" t="s">
        <v>2438</v>
      </c>
      <c r="D138" t="e">
        <v>#N/A</v>
      </c>
    </row>
    <row r="139" spans="1:4">
      <c r="A139" t="s">
        <v>277</v>
      </c>
      <c r="B139" t="str">
        <f>SUBSTITUTE(SUBSTITUTE(SUBSTITUTE(SUBSTITUTE(SUBSTITUTE(WA_CDPs[[#This Row],[NAME]]," Tribal Community CDP, Washington","")," CDP, Washington","")," city, Washington","")," town, Washington","")," village, Washington","")</f>
        <v>Creston</v>
      </c>
      <c r="C139" t="s">
        <v>1405</v>
      </c>
      <c r="D139" t="s">
        <v>276</v>
      </c>
    </row>
    <row r="140" spans="1:4">
      <c r="A140" t="s">
        <v>279</v>
      </c>
      <c r="B140" t="str">
        <f>SUBSTITUTE(SUBSTITUTE(SUBSTITUTE(SUBSTITUTE(SUBSTITUTE(WA_CDPs[[#This Row],[NAME]]," Tribal Community CDP, Washington","")," CDP, Washington","")," city, Washington","")," town, Washington","")," village, Washington","")</f>
        <v>Crocker</v>
      </c>
      <c r="C140" t="s">
        <v>1406</v>
      </c>
      <c r="D140" t="s">
        <v>278</v>
      </c>
    </row>
    <row r="141" spans="1:4">
      <c r="A141" t="s">
        <v>281</v>
      </c>
      <c r="B141" t="str">
        <f>SUBSTITUTE(SUBSTITUTE(SUBSTITUTE(SUBSTITUTE(SUBSTITUTE(WA_CDPs[[#This Row],[NAME]]," Tribal Community CDP, Washington","")," CDP, Washington","")," city, Washington","")," town, Washington","")," village, Washington","")</f>
        <v>Curlew</v>
      </c>
      <c r="C141" t="s">
        <v>1407</v>
      </c>
      <c r="D141" t="s">
        <v>280</v>
      </c>
    </row>
    <row r="142" spans="1:4">
      <c r="A142" t="s">
        <v>283</v>
      </c>
      <c r="B142" t="str">
        <f>SUBSTITUTE(SUBSTITUTE(SUBSTITUTE(SUBSTITUTE(SUBSTITUTE(WA_CDPs[[#This Row],[NAME]]," Tribal Community CDP, Washington","")," CDP, Washington","")," city, Washington","")," town, Washington","")," village, Washington","")</f>
        <v>Curlew Lake</v>
      </c>
      <c r="C142" t="s">
        <v>1408</v>
      </c>
      <c r="D142" t="s">
        <v>282</v>
      </c>
    </row>
    <row r="143" spans="1:4">
      <c r="A143" t="s">
        <v>285</v>
      </c>
      <c r="B143" t="str">
        <f>SUBSTITUTE(SUBSTITUTE(SUBSTITUTE(SUBSTITUTE(SUBSTITUTE(WA_CDPs[[#This Row],[NAME]]," Tribal Community CDP, Washington","")," CDP, Washington","")," city, Washington","")," town, Washington","")," village, Washington","")</f>
        <v>Cusick</v>
      </c>
      <c r="C143" t="s">
        <v>1409</v>
      </c>
      <c r="D143" t="s">
        <v>284</v>
      </c>
    </row>
    <row r="144" spans="1:4">
      <c r="A144" t="s">
        <v>287</v>
      </c>
      <c r="B144" t="str">
        <f>SUBSTITUTE(SUBSTITUTE(SUBSTITUTE(SUBSTITUTE(SUBSTITUTE(WA_CDPs[[#This Row],[NAME]]," Tribal Community CDP, Washington","")," CDP, Washington","")," city, Washington","")," town, Washington","")," village, Washington","")</f>
        <v>Custer</v>
      </c>
      <c r="C144" t="s">
        <v>1410</v>
      </c>
      <c r="D144" t="s">
        <v>286</v>
      </c>
    </row>
    <row r="145" spans="1:4">
      <c r="A145" t="s">
        <v>289</v>
      </c>
      <c r="B145" t="str">
        <f>SUBSTITUTE(SUBSTITUTE(SUBSTITUTE(SUBSTITUTE(SUBSTITUTE(WA_CDPs[[#This Row],[NAME]]," Tribal Community CDP, Washington","")," CDP, Washington","")," city, Washington","")," town, Washington","")," village, Washington","")</f>
        <v>Dallesport</v>
      </c>
      <c r="C145" t="s">
        <v>1411</v>
      </c>
      <c r="D145" t="s">
        <v>288</v>
      </c>
    </row>
    <row r="146" spans="1:4">
      <c r="A146" t="s">
        <v>291</v>
      </c>
      <c r="B146" t="str">
        <f>SUBSTITUTE(SUBSTITUTE(SUBSTITUTE(SUBSTITUTE(SUBSTITUTE(WA_CDPs[[#This Row],[NAME]]," Tribal Community CDP, Washington","")," CDP, Washington","")," city, Washington","")," town, Washington","")," village, Washington","")</f>
        <v>Danville</v>
      </c>
      <c r="C146" t="s">
        <v>1412</v>
      </c>
      <c r="D146" t="s">
        <v>290</v>
      </c>
    </row>
    <row r="147" spans="1:4">
      <c r="A147" t="s">
        <v>293</v>
      </c>
      <c r="B147" t="str">
        <f>SUBSTITUTE(SUBSTITUTE(SUBSTITUTE(SUBSTITUTE(SUBSTITUTE(WA_CDPs[[#This Row],[NAME]]," Tribal Community CDP, Washington","")," CDP, Washington","")," city, Washington","")," town, Washington","")," village, Washington","")</f>
        <v>Darrington</v>
      </c>
      <c r="C147" t="s">
        <v>1413</v>
      </c>
      <c r="D147" t="s">
        <v>292</v>
      </c>
    </row>
    <row r="148" spans="1:4">
      <c r="A148" t="s">
        <v>295</v>
      </c>
      <c r="B148" t="str">
        <f>SUBSTITUTE(SUBSTITUTE(SUBSTITUTE(SUBSTITUTE(SUBSTITUTE(WA_CDPs[[#This Row],[NAME]]," Tribal Community CDP, Washington","")," CDP, Washington","")," city, Washington","")," town, Washington","")," village, Washington","")</f>
        <v>Dash Point</v>
      </c>
      <c r="C148" t="s">
        <v>1414</v>
      </c>
      <c r="D148" t="s">
        <v>294</v>
      </c>
    </row>
    <row r="149" spans="1:4">
      <c r="A149" t="s">
        <v>297</v>
      </c>
      <c r="B149" t="str">
        <f>SUBSTITUTE(SUBSTITUTE(SUBSTITUTE(SUBSTITUTE(SUBSTITUTE(WA_CDPs[[#This Row],[NAME]]," Tribal Community CDP, Washington","")," CDP, Washington","")," city, Washington","")," town, Washington","")," village, Washington","")</f>
        <v>Davenport</v>
      </c>
      <c r="C149" t="s">
        <v>1415</v>
      </c>
      <c r="D149" t="s">
        <v>296</v>
      </c>
    </row>
    <row r="150" spans="1:4">
      <c r="A150" t="s">
        <v>299</v>
      </c>
      <c r="B150" t="str">
        <f>SUBSTITUTE(SUBSTITUTE(SUBSTITUTE(SUBSTITUTE(SUBSTITUTE(WA_CDPs[[#This Row],[NAME]]," Tribal Community CDP, Washington","")," CDP, Washington","")," city, Washington","")," town, Washington","")," village, Washington","")</f>
        <v>Dayton</v>
      </c>
      <c r="C150" t="s">
        <v>1416</v>
      </c>
      <c r="D150" t="s">
        <v>298</v>
      </c>
    </row>
    <row r="151" spans="1:4">
      <c r="A151" t="s">
        <v>301</v>
      </c>
      <c r="B151" t="str">
        <f>SUBSTITUTE(SUBSTITUTE(SUBSTITUTE(SUBSTITUTE(SUBSTITUTE(WA_CDPs[[#This Row],[NAME]]," Tribal Community CDP, Washington","")," CDP, Washington","")," city, Washington","")," town, Washington","")," village, Washington","")</f>
        <v>Deep River</v>
      </c>
      <c r="C151" t="s">
        <v>1417</v>
      </c>
      <c r="D151" t="s">
        <v>300</v>
      </c>
    </row>
    <row r="152" spans="1:4">
      <c r="A152" t="s">
        <v>303</v>
      </c>
      <c r="B152" t="str">
        <f>SUBSTITUTE(SUBSTITUTE(SUBSTITUTE(SUBSTITUTE(SUBSTITUTE(WA_CDPs[[#This Row],[NAME]]," Tribal Community CDP, Washington","")," CDP, Washington","")," city, Washington","")," town, Washington","")," village, Washington","")</f>
        <v>Deer Park</v>
      </c>
      <c r="C152" t="s">
        <v>1418</v>
      </c>
      <c r="D152" t="s">
        <v>302</v>
      </c>
    </row>
    <row r="153" spans="1:4">
      <c r="A153" t="s">
        <v>305</v>
      </c>
      <c r="B153" t="str">
        <f>SUBSTITUTE(SUBSTITUTE(SUBSTITUTE(SUBSTITUTE(SUBSTITUTE(WA_CDPs[[#This Row],[NAME]]," Tribal Community CDP, Washington","")," CDP, Washington","")," city, Washington","")," town, Washington","")," village, Washington","")</f>
        <v>Deming</v>
      </c>
      <c r="C153" t="s">
        <v>1419</v>
      </c>
      <c r="D153" t="s">
        <v>304</v>
      </c>
    </row>
    <row r="154" spans="1:4">
      <c r="A154" t="s">
        <v>307</v>
      </c>
      <c r="B154" t="str">
        <f>SUBSTITUTE(SUBSTITUTE(SUBSTITUTE(SUBSTITUTE(SUBSTITUTE(WA_CDPs[[#This Row],[NAME]]," Tribal Community CDP, Washington","")," CDP, Washington","")," city, Washington","")," town, Washington","")," village, Washington","")</f>
        <v>Desert Aire</v>
      </c>
      <c r="C154" t="s">
        <v>1420</v>
      </c>
      <c r="D154" t="s">
        <v>306</v>
      </c>
    </row>
    <row r="155" spans="1:4">
      <c r="A155" t="s">
        <v>309</v>
      </c>
      <c r="B155" t="str">
        <f>SUBSTITUTE(SUBSTITUTE(SUBSTITUTE(SUBSTITUTE(SUBSTITUTE(WA_CDPs[[#This Row],[NAME]]," Tribal Community CDP, Washington","")," CDP, Washington","")," city, Washington","")," town, Washington","")," village, Washington","")</f>
        <v>Des Moines</v>
      </c>
      <c r="C155" t="s">
        <v>1421</v>
      </c>
      <c r="D155" t="s">
        <v>308</v>
      </c>
    </row>
    <row r="156" spans="1:4">
      <c r="A156" t="s">
        <v>311</v>
      </c>
      <c r="B156" t="str">
        <f>SUBSTITUTE(SUBSTITUTE(SUBSTITUTE(SUBSTITUTE(SUBSTITUTE(WA_CDPs[[#This Row],[NAME]]," Tribal Community CDP, Washington","")," CDP, Washington","")," city, Washington","")," town, Washington","")," village, Washington","")</f>
        <v>Disautel</v>
      </c>
      <c r="C156" t="s">
        <v>1422</v>
      </c>
      <c r="D156" t="s">
        <v>310</v>
      </c>
    </row>
    <row r="157" spans="1:4">
      <c r="A157" t="s">
        <v>313</v>
      </c>
      <c r="B157" t="str">
        <f>SUBSTITUTE(SUBSTITUTE(SUBSTITUTE(SUBSTITUTE(SUBSTITUTE(WA_CDPs[[#This Row],[NAME]]," Tribal Community CDP, Washington","")," CDP, Washington","")," city, Washington","")," town, Washington","")," village, Washington","")</f>
        <v>Dixie</v>
      </c>
      <c r="C157" t="s">
        <v>1423</v>
      </c>
      <c r="D157" t="s">
        <v>312</v>
      </c>
    </row>
    <row r="158" spans="1:4">
      <c r="A158" t="s">
        <v>315</v>
      </c>
      <c r="B158" t="str">
        <f>SUBSTITUTE(SUBSTITUTE(SUBSTITUTE(SUBSTITUTE(SUBSTITUTE(WA_CDPs[[#This Row],[NAME]]," Tribal Community CDP, Washington","")," CDP, Washington","")," city, Washington","")," town, Washington","")," village, Washington","")</f>
        <v>Dollars Corner</v>
      </c>
      <c r="C158" t="s">
        <v>1424</v>
      </c>
      <c r="D158" t="s">
        <v>314</v>
      </c>
    </row>
    <row r="159" spans="1:4">
      <c r="A159" t="s">
        <v>317</v>
      </c>
      <c r="B159" t="str">
        <f>SUBSTITUTE(SUBSTITUTE(SUBSTITUTE(SUBSTITUTE(SUBSTITUTE(WA_CDPs[[#This Row],[NAME]]," Tribal Community CDP, Washington","")," CDP, Washington","")," city, Washington","")," town, Washington","")," village, Washington","")</f>
        <v>Donald</v>
      </c>
      <c r="C159" t="s">
        <v>1425</v>
      </c>
      <c r="D159" t="s">
        <v>316</v>
      </c>
    </row>
    <row r="160" spans="1:4">
      <c r="A160" t="s">
        <v>319</v>
      </c>
      <c r="B160" t="str">
        <f>SUBSTITUTE(SUBSTITUTE(SUBSTITUTE(SUBSTITUTE(SUBSTITUTE(WA_CDPs[[#This Row],[NAME]]," Tribal Community CDP, Washington","")," CDP, Washington","")," city, Washington","")," town, Washington","")," village, Washington","")</f>
        <v>Duluth</v>
      </c>
      <c r="C160" t="s">
        <v>1426</v>
      </c>
      <c r="D160" t="s">
        <v>318</v>
      </c>
    </row>
    <row r="161" spans="1:4">
      <c r="A161" t="s">
        <v>321</v>
      </c>
      <c r="B161" t="str">
        <f>SUBSTITUTE(SUBSTITUTE(SUBSTITUTE(SUBSTITUTE(SUBSTITUTE(WA_CDPs[[#This Row],[NAME]]," Tribal Community CDP, Washington","")," CDP, Washington","")," city, Washington","")," town, Washington","")," village, Washington","")</f>
        <v>DuPont</v>
      </c>
      <c r="C161" t="s">
        <v>1427</v>
      </c>
      <c r="D161" t="s">
        <v>320</v>
      </c>
    </row>
    <row r="162" spans="1:4">
      <c r="A162" t="s">
        <v>323</v>
      </c>
      <c r="B162" t="str">
        <f>SUBSTITUTE(SUBSTITUTE(SUBSTITUTE(SUBSTITUTE(SUBSTITUTE(WA_CDPs[[#This Row],[NAME]]," Tribal Community CDP, Washington","")," CDP, Washington","")," city, Washington","")," town, Washington","")," village, Washington","")</f>
        <v>Duvall</v>
      </c>
      <c r="C162" t="s">
        <v>1428</v>
      </c>
      <c r="D162" t="s">
        <v>322</v>
      </c>
    </row>
    <row r="163" spans="1:4">
      <c r="A163" t="s">
        <v>325</v>
      </c>
      <c r="B163" t="str">
        <f>SUBSTITUTE(SUBSTITUTE(SUBSTITUTE(SUBSTITUTE(SUBSTITUTE(WA_CDPs[[#This Row],[NAME]]," Tribal Community CDP, Washington","")," CDP, Washington","")," city, Washington","")," town, Washington","")," village, Washington","")</f>
        <v>East Cathlamet</v>
      </c>
      <c r="C163" t="s">
        <v>1429</v>
      </c>
      <c r="D163" t="s">
        <v>324</v>
      </c>
    </row>
    <row r="164" spans="1:4">
      <c r="A164" t="s">
        <v>327</v>
      </c>
      <c r="B164" t="str">
        <f>SUBSTITUTE(SUBSTITUTE(SUBSTITUTE(SUBSTITUTE(SUBSTITUTE(WA_CDPs[[#This Row],[NAME]]," Tribal Community CDP, Washington","")," CDP, Washington","")," city, Washington","")," town, Washington","")," village, Washington","")</f>
        <v>Eastmont</v>
      </c>
      <c r="C164" t="s">
        <v>1430</v>
      </c>
      <c r="D164" t="s">
        <v>326</v>
      </c>
    </row>
    <row r="165" spans="1:4">
      <c r="A165" t="s">
        <v>329</v>
      </c>
      <c r="B165" t="str">
        <f>SUBSTITUTE(SUBSTITUTE(SUBSTITUTE(SUBSTITUTE(SUBSTITUTE(WA_CDPs[[#This Row],[NAME]]," Tribal Community CDP, Washington","")," CDP, Washington","")," city, Washington","")," town, Washington","")," village, Washington","")</f>
        <v>Easton</v>
      </c>
      <c r="C165" t="s">
        <v>1431</v>
      </c>
      <c r="D165" t="s">
        <v>328</v>
      </c>
    </row>
    <row r="166" spans="1:4">
      <c r="A166" t="s">
        <v>331</v>
      </c>
      <c r="B166" t="str">
        <f>SUBSTITUTE(SUBSTITUTE(SUBSTITUTE(SUBSTITUTE(SUBSTITUTE(WA_CDPs[[#This Row],[NAME]]," Tribal Community CDP, Washington","")," CDP, Washington","")," city, Washington","")," town, Washington","")," village, Washington","")</f>
        <v>East Port Orchard</v>
      </c>
      <c r="C166" t="s">
        <v>1432</v>
      </c>
      <c r="D166" t="s">
        <v>330</v>
      </c>
    </row>
    <row r="167" spans="1:4">
      <c r="A167" t="s">
        <v>333</v>
      </c>
      <c r="B167" t="str">
        <f>SUBSTITUTE(SUBSTITUTE(SUBSTITUTE(SUBSTITUTE(SUBSTITUTE(WA_CDPs[[#This Row],[NAME]]," Tribal Community CDP, Washington","")," CDP, Washington","")," city, Washington","")," town, Washington","")," village, Washington","")</f>
        <v>East Renton Highlands</v>
      </c>
      <c r="C167" t="s">
        <v>1433</v>
      </c>
      <c r="D167" t="s">
        <v>332</v>
      </c>
    </row>
    <row r="168" spans="1:4">
      <c r="A168" t="s">
        <v>335</v>
      </c>
      <c r="B168" t="str">
        <f>SUBSTITUTE(SUBSTITUTE(SUBSTITUTE(SUBSTITUTE(SUBSTITUTE(WA_CDPs[[#This Row],[NAME]]," Tribal Community CDP, Washington","")," CDP, Washington","")," city, Washington","")," town, Washington","")," village, Washington","")</f>
        <v>East Wenatchee</v>
      </c>
      <c r="C168" t="s">
        <v>1434</v>
      </c>
      <c r="D168" t="s">
        <v>334</v>
      </c>
    </row>
    <row r="169" spans="1:4">
      <c r="A169" t="s">
        <v>337</v>
      </c>
      <c r="B169" t="str">
        <f>SUBSTITUTE(SUBSTITUTE(SUBSTITUTE(SUBSTITUTE(SUBSTITUTE(WA_CDPs[[#This Row],[NAME]]," Tribal Community CDP, Washington","")," CDP, Washington","")," city, Washington","")," town, Washington","")," village, Washington","")</f>
        <v>Eatonville</v>
      </c>
      <c r="C169" t="s">
        <v>1435</v>
      </c>
      <c r="D169" t="s">
        <v>336</v>
      </c>
    </row>
    <row r="170" spans="1:4">
      <c r="A170" t="s">
        <v>339</v>
      </c>
      <c r="B170" t="str">
        <f>SUBSTITUTE(SUBSTITUTE(SUBSTITUTE(SUBSTITUTE(SUBSTITUTE(WA_CDPs[[#This Row],[NAME]]," Tribal Community CDP, Washington","")," CDP, Washington","")," city, Washington","")," town, Washington","")," village, Washington","")</f>
        <v>Edgewood</v>
      </c>
      <c r="C170" t="s">
        <v>1436</v>
      </c>
      <c r="D170" t="s">
        <v>338</v>
      </c>
    </row>
    <row r="171" spans="1:4">
      <c r="A171" t="s">
        <v>341</v>
      </c>
      <c r="B171" t="str">
        <f>SUBSTITUTE(SUBSTITUTE(SUBSTITUTE(SUBSTITUTE(SUBSTITUTE(WA_CDPs[[#This Row],[NAME]]," Tribal Community CDP, Washington","")," CDP, Washington","")," city, Washington","")," town, Washington","")," village, Washington","")</f>
        <v>Edison</v>
      </c>
      <c r="C171" t="s">
        <v>1437</v>
      </c>
      <c r="D171" t="s">
        <v>340</v>
      </c>
    </row>
    <row r="172" spans="1:4">
      <c r="A172" t="s">
        <v>343</v>
      </c>
      <c r="B172" t="str">
        <f>SUBSTITUTE(SUBSTITUTE(SUBSTITUTE(SUBSTITUTE(SUBSTITUTE(WA_CDPs[[#This Row],[NAME]]," Tribal Community CDP, Washington","")," CDP, Washington","")," city, Washington","")," town, Washington","")," village, Washington","")</f>
        <v>Edmonds</v>
      </c>
      <c r="C172" t="s">
        <v>1438</v>
      </c>
      <c r="D172" t="s">
        <v>342</v>
      </c>
    </row>
    <row r="173" spans="1:4">
      <c r="A173" t="s">
        <v>345</v>
      </c>
      <c r="B173" t="str">
        <f>SUBSTITUTE(SUBSTITUTE(SUBSTITUTE(SUBSTITUTE(SUBSTITUTE(WA_CDPs[[#This Row],[NAME]]," Tribal Community CDP, Washington","")," CDP, Washington","")," city, Washington","")," town, Washington","")," village, Washington","")</f>
        <v>Elbe</v>
      </c>
      <c r="C173" t="s">
        <v>1439</v>
      </c>
      <c r="D173" t="s">
        <v>344</v>
      </c>
    </row>
    <row r="174" spans="1:4">
      <c r="A174" t="s">
        <v>347</v>
      </c>
      <c r="B174" t="str">
        <f>SUBSTITUTE(SUBSTITUTE(SUBSTITUTE(SUBSTITUTE(SUBSTITUTE(WA_CDPs[[#This Row],[NAME]]," Tribal Community CDP, Washington","")," CDP, Washington","")," city, Washington","")," town, Washington","")," village, Washington","")</f>
        <v>Electric City</v>
      </c>
      <c r="C174" t="s">
        <v>1440</v>
      </c>
      <c r="D174" t="s">
        <v>346</v>
      </c>
    </row>
    <row r="175" spans="1:4">
      <c r="A175" t="s">
        <v>349</v>
      </c>
      <c r="B175" t="str">
        <f>SUBSTITUTE(SUBSTITUTE(SUBSTITUTE(SUBSTITUTE(SUBSTITUTE(WA_CDPs[[#This Row],[NAME]]," Tribal Community CDP, Washington","")," CDP, Washington","")," city, Washington","")," town, Washington","")," village, Washington","")</f>
        <v>Elk Plain</v>
      </c>
      <c r="C175" t="s">
        <v>1441</v>
      </c>
      <c r="D175" t="s">
        <v>348</v>
      </c>
    </row>
    <row r="176" spans="1:4">
      <c r="A176" t="s">
        <v>351</v>
      </c>
      <c r="B176" t="str">
        <f>SUBSTITUTE(SUBSTITUTE(SUBSTITUTE(SUBSTITUTE(SUBSTITUTE(WA_CDPs[[#This Row],[NAME]]," Tribal Community CDP, Washington","")," CDP, Washington","")," city, Washington","")," town, Washington","")," village, Washington","")</f>
        <v>Ellensburg</v>
      </c>
      <c r="C176" t="s">
        <v>1442</v>
      </c>
      <c r="D176" t="s">
        <v>350</v>
      </c>
    </row>
    <row r="177" spans="1:4">
      <c r="A177" t="s">
        <v>353</v>
      </c>
      <c r="B177" t="str">
        <f>SUBSTITUTE(SUBSTITUTE(SUBSTITUTE(SUBSTITUTE(SUBSTITUTE(WA_CDPs[[#This Row],[NAME]]," Tribal Community CDP, Washington","")," CDP, Washington","")," city, Washington","")," town, Washington","")," village, Washington","")</f>
        <v>Elma</v>
      </c>
      <c r="C177" t="s">
        <v>1443</v>
      </c>
      <c r="D177" t="s">
        <v>352</v>
      </c>
    </row>
    <row r="178" spans="1:4">
      <c r="A178" t="s">
        <v>355</v>
      </c>
      <c r="B178" t="str">
        <f>SUBSTITUTE(SUBSTITUTE(SUBSTITUTE(SUBSTITUTE(SUBSTITUTE(WA_CDPs[[#This Row],[NAME]]," Tribal Community CDP, Washington","")," CDP, Washington","")," city, Washington","")," town, Washington","")," village, Washington","")</f>
        <v>Elmer City</v>
      </c>
      <c r="C178" t="s">
        <v>1444</v>
      </c>
      <c r="D178" t="s">
        <v>354</v>
      </c>
    </row>
    <row r="179" spans="1:4">
      <c r="A179" t="s">
        <v>357</v>
      </c>
      <c r="B179" t="str">
        <f>SUBSTITUTE(SUBSTITUTE(SUBSTITUTE(SUBSTITUTE(SUBSTITUTE(WA_CDPs[[#This Row],[NAME]]," Tribal Community CDP, Washington","")," CDP, Washington","")," city, Washington","")," town, Washington","")," village, Washington","")</f>
        <v>Endicott</v>
      </c>
      <c r="C179" t="s">
        <v>1445</v>
      </c>
      <c r="D179" t="s">
        <v>356</v>
      </c>
    </row>
    <row r="180" spans="1:4">
      <c r="A180" t="s">
        <v>359</v>
      </c>
      <c r="B180" t="str">
        <f>SUBSTITUTE(SUBSTITUTE(SUBSTITUTE(SUBSTITUTE(SUBSTITUTE(WA_CDPs[[#This Row],[NAME]]," Tribal Community CDP, Washington","")," CDP, Washington","")," city, Washington","")," town, Washington","")," village, Washington","")</f>
        <v>Enetai</v>
      </c>
      <c r="C180" t="s">
        <v>1446</v>
      </c>
      <c r="D180" t="s">
        <v>358</v>
      </c>
    </row>
    <row r="181" spans="1:4">
      <c r="A181" t="s">
        <v>361</v>
      </c>
      <c r="B181" t="str">
        <f>SUBSTITUTE(SUBSTITUTE(SUBSTITUTE(SUBSTITUTE(SUBSTITUTE(WA_CDPs[[#This Row],[NAME]]," Tribal Community CDP, Washington","")," CDP, Washington","")," city, Washington","")," town, Washington","")," village, Washington","")</f>
        <v>Entiat</v>
      </c>
      <c r="C181" t="s">
        <v>1447</v>
      </c>
      <c r="D181" t="s">
        <v>360</v>
      </c>
    </row>
    <row r="182" spans="1:4">
      <c r="A182" t="s">
        <v>363</v>
      </c>
      <c r="B182" t="str">
        <f>SUBSTITUTE(SUBSTITUTE(SUBSTITUTE(SUBSTITUTE(SUBSTITUTE(WA_CDPs[[#This Row],[NAME]]," Tribal Community CDP, Washington","")," CDP, Washington","")," city, Washington","")," town, Washington","")," village, Washington","")</f>
        <v>Enumclaw</v>
      </c>
      <c r="C182" t="s">
        <v>1448</v>
      </c>
      <c r="D182" t="s">
        <v>362</v>
      </c>
    </row>
    <row r="183" spans="1:4">
      <c r="A183" t="s">
        <v>365</v>
      </c>
      <c r="B183" t="str">
        <f>SUBSTITUTE(SUBSTITUTE(SUBSTITUTE(SUBSTITUTE(SUBSTITUTE(WA_CDPs[[#This Row],[NAME]]," Tribal Community CDP, Washington","")," CDP, Washington","")," city, Washington","")," town, Washington","")," village, Washington","")</f>
        <v>Ephrata</v>
      </c>
      <c r="C183" t="s">
        <v>1449</v>
      </c>
      <c r="D183" t="s">
        <v>364</v>
      </c>
    </row>
    <row r="184" spans="1:4">
      <c r="A184" t="s">
        <v>2441</v>
      </c>
      <c r="B184" t="str">
        <f>SUBSTITUTE(SUBSTITUTE(SUBSTITUTE(SUBSTITUTE(SUBSTITUTE(WA_CDPs[[#This Row],[NAME]]," Tribal Community CDP, Washington","")," CDP, Washington","")," city, Washington","")," town, Washington","")," village, Washington","")</f>
        <v>Erlands Point</v>
      </c>
      <c r="C184" t="s">
        <v>2440</v>
      </c>
      <c r="D184" t="e">
        <v>#N/A</v>
      </c>
    </row>
    <row r="185" spans="1:4">
      <c r="A185" t="s">
        <v>367</v>
      </c>
      <c r="B185" t="str">
        <f>SUBSTITUTE(SUBSTITUTE(SUBSTITUTE(SUBSTITUTE(SUBSTITUTE(WA_CDPs[[#This Row],[NAME]]," Tribal Community CDP, Washington","")," CDP, Washington","")," city, Washington","")," town, Washington","")," village, Washington","")</f>
        <v>Eschbach</v>
      </c>
      <c r="C185" t="s">
        <v>1450</v>
      </c>
      <c r="D185" t="s">
        <v>366</v>
      </c>
    </row>
    <row r="186" spans="1:4">
      <c r="A186" t="s">
        <v>369</v>
      </c>
      <c r="B186" t="str">
        <f>SUBSTITUTE(SUBSTITUTE(SUBSTITUTE(SUBSTITUTE(SUBSTITUTE(WA_CDPs[[#This Row],[NAME]]," Tribal Community CDP, Washington","")," CDP, Washington","")," city, Washington","")," town, Washington","")," village, Washington","")</f>
        <v>Esperance</v>
      </c>
      <c r="C186" t="s">
        <v>1451</v>
      </c>
      <c r="D186" t="s">
        <v>368</v>
      </c>
    </row>
    <row r="187" spans="1:4">
      <c r="A187" t="s">
        <v>371</v>
      </c>
      <c r="B187" t="str">
        <f>SUBSTITUTE(SUBSTITUTE(SUBSTITUTE(SUBSTITUTE(SUBSTITUTE(WA_CDPs[[#This Row],[NAME]]," Tribal Community CDP, Washington","")," CDP, Washington","")," city, Washington","")," town, Washington","")," village, Washington","")</f>
        <v>Everett</v>
      </c>
      <c r="C187" t="s">
        <v>1452</v>
      </c>
      <c r="D187" t="s">
        <v>370</v>
      </c>
    </row>
    <row r="188" spans="1:4">
      <c r="A188" t="s">
        <v>373</v>
      </c>
      <c r="B188" t="str">
        <f>SUBSTITUTE(SUBSTITUTE(SUBSTITUTE(SUBSTITUTE(SUBSTITUTE(WA_CDPs[[#This Row],[NAME]]," Tribal Community CDP, Washington","")," CDP, Washington","")," city, Washington","")," town, Washington","")," village, Washington","")</f>
        <v>Everson</v>
      </c>
      <c r="C188" t="s">
        <v>1453</v>
      </c>
      <c r="D188" t="s">
        <v>372</v>
      </c>
    </row>
    <row r="189" spans="1:4">
      <c r="A189" t="s">
        <v>375</v>
      </c>
      <c r="B189" t="str">
        <f>SUBSTITUTE(SUBSTITUTE(SUBSTITUTE(SUBSTITUTE(SUBSTITUTE(WA_CDPs[[#This Row],[NAME]]," Tribal Community CDP, Washington","")," CDP, Washington","")," city, Washington","")," town, Washington","")," village, Washington","")</f>
        <v>Fairchild AFB</v>
      </c>
      <c r="C189" t="s">
        <v>1454</v>
      </c>
      <c r="D189" t="s">
        <v>374</v>
      </c>
    </row>
    <row r="190" spans="1:4">
      <c r="A190" t="s">
        <v>377</v>
      </c>
      <c r="B190" t="str">
        <f>SUBSTITUTE(SUBSTITUTE(SUBSTITUTE(SUBSTITUTE(SUBSTITUTE(WA_CDPs[[#This Row],[NAME]]," Tribal Community CDP, Washington","")," CDP, Washington","")," city, Washington","")," town, Washington","")," village, Washington","")</f>
        <v>Fairfield</v>
      </c>
      <c r="C190" t="s">
        <v>1455</v>
      </c>
      <c r="D190" t="s">
        <v>376</v>
      </c>
    </row>
    <row r="191" spans="1:4">
      <c r="A191" t="s">
        <v>379</v>
      </c>
      <c r="B191" t="str">
        <f>SUBSTITUTE(SUBSTITUTE(SUBSTITUTE(SUBSTITUTE(SUBSTITUTE(WA_CDPs[[#This Row],[NAME]]," Tribal Community CDP, Washington","")," CDP, Washington","")," city, Washington","")," town, Washington","")," village, Washington","")</f>
        <v>Fairwood CDP (King County), Washington</v>
      </c>
      <c r="C191" t="s">
        <v>1456</v>
      </c>
      <c r="D191" t="s">
        <v>378</v>
      </c>
    </row>
    <row r="192" spans="1:4">
      <c r="A192" t="s">
        <v>381</v>
      </c>
      <c r="B192" t="str">
        <f>SUBSTITUTE(SUBSTITUTE(SUBSTITUTE(SUBSTITUTE(SUBSTITUTE(WA_CDPs[[#This Row],[NAME]]," Tribal Community CDP, Washington","")," CDP, Washington","")," city, Washington","")," town, Washington","")," village, Washington","")</f>
        <v>Fairwood CDP (Spokane County), Washington</v>
      </c>
      <c r="C192" t="s">
        <v>1457</v>
      </c>
      <c r="D192" t="s">
        <v>380</v>
      </c>
    </row>
    <row r="193" spans="1:4">
      <c r="A193" t="s">
        <v>383</v>
      </c>
      <c r="B193" t="str">
        <f>SUBSTITUTE(SUBSTITUTE(SUBSTITUTE(SUBSTITUTE(SUBSTITUTE(WA_CDPs[[#This Row],[NAME]]," Tribal Community CDP, Washington","")," CDP, Washington","")," city, Washington","")," town, Washington","")," village, Washington","")</f>
        <v>Fall City</v>
      </c>
      <c r="C193" t="s">
        <v>1458</v>
      </c>
      <c r="D193" t="s">
        <v>382</v>
      </c>
    </row>
    <row r="194" spans="1:4">
      <c r="A194" t="s">
        <v>385</v>
      </c>
      <c r="B194" t="str">
        <f>SUBSTITUTE(SUBSTITUTE(SUBSTITUTE(SUBSTITUTE(SUBSTITUTE(WA_CDPs[[#This Row],[NAME]]," Tribal Community CDP, Washington","")," CDP, Washington","")," city, Washington","")," town, Washington","")," village, Washington","")</f>
        <v>Farmington</v>
      </c>
      <c r="C194" t="s">
        <v>1459</v>
      </c>
      <c r="D194" t="s">
        <v>384</v>
      </c>
    </row>
    <row r="195" spans="1:4">
      <c r="A195" t="s">
        <v>387</v>
      </c>
      <c r="B195" t="str">
        <f>SUBSTITUTE(SUBSTITUTE(SUBSTITUTE(SUBSTITUTE(SUBSTITUTE(WA_CDPs[[#This Row],[NAME]]," Tribal Community CDP, Washington","")," CDP, Washington","")," city, Washington","")," town, Washington","")," village, Washington","")</f>
        <v>Federal Way</v>
      </c>
      <c r="C195" t="s">
        <v>1460</v>
      </c>
      <c r="D195" t="s">
        <v>386</v>
      </c>
    </row>
    <row r="196" spans="1:4">
      <c r="A196" t="s">
        <v>389</v>
      </c>
      <c r="B196" t="str">
        <f>SUBSTITUTE(SUBSTITUTE(SUBSTITUTE(SUBSTITUTE(SUBSTITUTE(WA_CDPs[[#This Row],[NAME]]," Tribal Community CDP, Washington","")," CDP, Washington","")," city, Washington","")," town, Washington","")," village, Washington","")</f>
        <v>Felida</v>
      </c>
      <c r="C196" t="s">
        <v>1461</v>
      </c>
      <c r="D196" t="s">
        <v>388</v>
      </c>
    </row>
    <row r="197" spans="1:4">
      <c r="A197" t="s">
        <v>391</v>
      </c>
      <c r="B197" t="str">
        <f>SUBSTITUTE(SUBSTITUTE(SUBSTITUTE(SUBSTITUTE(SUBSTITUTE(WA_CDPs[[#This Row],[NAME]]," Tribal Community CDP, Washington","")," CDP, Washington","")," city, Washington","")," town, Washington","")," village, Washington","")</f>
        <v>Ferndale</v>
      </c>
      <c r="C197" t="s">
        <v>1462</v>
      </c>
      <c r="D197" t="s">
        <v>390</v>
      </c>
    </row>
    <row r="198" spans="1:4">
      <c r="A198" t="s">
        <v>393</v>
      </c>
      <c r="B198" t="str">
        <f>SUBSTITUTE(SUBSTITUTE(SUBSTITUTE(SUBSTITUTE(SUBSTITUTE(WA_CDPs[[#This Row],[NAME]]," Tribal Community CDP, Washington","")," CDP, Washington","")," city, Washington","")," town, Washington","")," village, Washington","")</f>
        <v>Fern Prairie</v>
      </c>
      <c r="C198" t="s">
        <v>1463</v>
      </c>
      <c r="D198" t="s">
        <v>392</v>
      </c>
    </row>
    <row r="199" spans="1:4">
      <c r="A199" t="s">
        <v>395</v>
      </c>
      <c r="B199" t="str">
        <f>SUBSTITUTE(SUBSTITUTE(SUBSTITUTE(SUBSTITUTE(SUBSTITUTE(WA_CDPs[[#This Row],[NAME]]," Tribal Community CDP, Washington","")," CDP, Washington","")," city, Washington","")," town, Washington","")," village, Washington","")</f>
        <v>Fife</v>
      </c>
      <c r="C199" t="s">
        <v>1464</v>
      </c>
      <c r="D199" t="s">
        <v>394</v>
      </c>
    </row>
    <row r="200" spans="1:4">
      <c r="A200" t="s">
        <v>397</v>
      </c>
      <c r="B200" t="str">
        <f>SUBSTITUTE(SUBSTITUTE(SUBSTITUTE(SUBSTITUTE(SUBSTITUTE(WA_CDPs[[#This Row],[NAME]]," Tribal Community CDP, Washington","")," CDP, Washington","")," city, Washington","")," town, Washington","")," village, Washington","")</f>
        <v>Fife Heights</v>
      </c>
      <c r="C200" t="s">
        <v>1465</v>
      </c>
      <c r="D200" t="s">
        <v>396</v>
      </c>
    </row>
    <row r="201" spans="1:4">
      <c r="A201" t="s">
        <v>399</v>
      </c>
      <c r="B201" t="str">
        <f>SUBSTITUTE(SUBSTITUTE(SUBSTITUTE(SUBSTITUTE(SUBSTITUTE(WA_CDPs[[#This Row],[NAME]]," Tribal Community CDP, Washington","")," CDP, Washington","")," city, Washington","")," town, Washington","")," village, Washington","")</f>
        <v>Finley</v>
      </c>
      <c r="C201" t="s">
        <v>1466</v>
      </c>
      <c r="D201" t="s">
        <v>398</v>
      </c>
    </row>
    <row r="202" spans="1:4">
      <c r="A202" t="s">
        <v>401</v>
      </c>
      <c r="B202" t="str">
        <f>SUBSTITUTE(SUBSTITUTE(SUBSTITUTE(SUBSTITUTE(SUBSTITUTE(WA_CDPs[[#This Row],[NAME]]," Tribal Community CDP, Washington","")," CDP, Washington","")," city, Washington","")," town, Washington","")," village, Washington","")</f>
        <v>Fircrest</v>
      </c>
      <c r="C202" t="s">
        <v>1467</v>
      </c>
      <c r="D202" t="s">
        <v>400</v>
      </c>
    </row>
    <row r="203" spans="1:4">
      <c r="A203" t="s">
        <v>403</v>
      </c>
      <c r="B203" t="str">
        <f>SUBSTITUTE(SUBSTITUTE(SUBSTITUTE(SUBSTITUTE(SUBSTITUTE(WA_CDPs[[#This Row],[NAME]]," Tribal Community CDP, Washington","")," CDP, Washington","")," city, Washington","")," town, Washington","")," village, Washington","")</f>
        <v>Five Corners</v>
      </c>
      <c r="C203" t="s">
        <v>1468</v>
      </c>
      <c r="D203" t="s">
        <v>402</v>
      </c>
    </row>
    <row r="204" spans="1:4">
      <c r="A204" t="s">
        <v>405</v>
      </c>
      <c r="B204" t="str">
        <f>SUBSTITUTE(SUBSTITUTE(SUBSTITUTE(SUBSTITUTE(SUBSTITUTE(WA_CDPs[[#This Row],[NAME]]," Tribal Community CDP, Washington","")," CDP, Washington","")," city, Washington","")," town, Washington","")," village, Washington","")</f>
        <v>Fobes Hill</v>
      </c>
      <c r="C204" t="s">
        <v>1469</v>
      </c>
      <c r="D204" t="s">
        <v>404</v>
      </c>
    </row>
    <row r="205" spans="1:4">
      <c r="A205" t="s">
        <v>407</v>
      </c>
      <c r="B205" t="str">
        <f>SUBSTITUTE(SUBSTITUTE(SUBSTITUTE(SUBSTITUTE(SUBSTITUTE(WA_CDPs[[#This Row],[NAME]]," Tribal Community CDP, Washington","")," CDP, Washington","")," city, Washington","")," town, Washington","")," village, Washington","")</f>
        <v>Fords Prairie</v>
      </c>
      <c r="C205" t="s">
        <v>1470</v>
      </c>
      <c r="D205" t="s">
        <v>406</v>
      </c>
    </row>
    <row r="206" spans="1:4">
      <c r="A206" t="s">
        <v>409</v>
      </c>
      <c r="B206" t="str">
        <f>SUBSTITUTE(SUBSTITUTE(SUBSTITUTE(SUBSTITUTE(SUBSTITUTE(WA_CDPs[[#This Row],[NAME]]," Tribal Community CDP, Washington","")," CDP, Washington","")," city, Washington","")," town, Washington","")," village, Washington","")</f>
        <v>Forks</v>
      </c>
      <c r="C206" t="s">
        <v>1471</v>
      </c>
      <c r="D206" t="s">
        <v>408</v>
      </c>
    </row>
    <row r="207" spans="1:4">
      <c r="A207" t="s">
        <v>411</v>
      </c>
      <c r="B207" t="str">
        <f>SUBSTITUTE(SUBSTITUTE(SUBSTITUTE(SUBSTITUTE(SUBSTITUTE(WA_CDPs[[#This Row],[NAME]]," Tribal Community CDP, Washington","")," CDP, Washington","")," city, Washington","")," town, Washington","")," village, Washington","")</f>
        <v>Fort Lewis</v>
      </c>
      <c r="C207" t="s">
        <v>1472</v>
      </c>
      <c r="D207" t="s">
        <v>410</v>
      </c>
    </row>
    <row r="208" spans="1:4">
      <c r="A208" t="s">
        <v>413</v>
      </c>
      <c r="B208" t="str">
        <f>SUBSTITUTE(SUBSTITUTE(SUBSTITUTE(SUBSTITUTE(SUBSTITUTE(WA_CDPs[[#This Row],[NAME]]," Tribal Community CDP, Washington","")," CDP, Washington","")," city, Washington","")," town, Washington","")," village, Washington","")</f>
        <v>Four Lakes</v>
      </c>
      <c r="C208" t="s">
        <v>1473</v>
      </c>
      <c r="D208" t="s">
        <v>412</v>
      </c>
    </row>
    <row r="209" spans="1:4">
      <c r="A209" t="s">
        <v>415</v>
      </c>
      <c r="B209" t="str">
        <f>SUBSTITUTE(SUBSTITUTE(SUBSTITUTE(SUBSTITUTE(SUBSTITUTE(WA_CDPs[[#This Row],[NAME]]," Tribal Community CDP, Washington","")," CDP, Washington","")," city, Washington","")," town, Washington","")," village, Washington","")</f>
        <v>Fox Island</v>
      </c>
      <c r="C209" t="s">
        <v>1474</v>
      </c>
      <c r="D209" t="s">
        <v>414</v>
      </c>
    </row>
    <row r="210" spans="1:4">
      <c r="A210" t="s">
        <v>417</v>
      </c>
      <c r="B210" t="str">
        <f>SUBSTITUTE(SUBSTITUTE(SUBSTITUTE(SUBSTITUTE(SUBSTITUTE(WA_CDPs[[#This Row],[NAME]]," Tribal Community CDP, Washington","")," CDP, Washington","")," city, Washington","")," town, Washington","")," village, Washington","")</f>
        <v>Frederickson</v>
      </c>
      <c r="C210" t="s">
        <v>1475</v>
      </c>
      <c r="D210" t="s">
        <v>416</v>
      </c>
    </row>
    <row r="211" spans="1:4">
      <c r="A211" t="s">
        <v>419</v>
      </c>
      <c r="B211" t="str">
        <f>SUBSTITUTE(SUBSTITUTE(SUBSTITUTE(SUBSTITUTE(SUBSTITUTE(WA_CDPs[[#This Row],[NAME]]," Tribal Community CDP, Washington","")," CDP, Washington","")," city, Washington","")," town, Washington","")," village, Washington","")</f>
        <v>Freeland</v>
      </c>
      <c r="C211" t="s">
        <v>1476</v>
      </c>
      <c r="D211" t="s">
        <v>418</v>
      </c>
    </row>
    <row r="212" spans="1:4">
      <c r="A212" t="s">
        <v>421</v>
      </c>
      <c r="B212" t="str">
        <f>SUBSTITUTE(SUBSTITUTE(SUBSTITUTE(SUBSTITUTE(SUBSTITUTE(WA_CDPs[[#This Row],[NAME]]," Tribal Community CDP, Washington","")," CDP, Washington","")," city, Washington","")," town, Washington","")," village, Washington","")</f>
        <v>Friday Harbor</v>
      </c>
      <c r="C212" t="s">
        <v>1477</v>
      </c>
      <c r="D212" t="s">
        <v>420</v>
      </c>
    </row>
    <row r="213" spans="1:4">
      <c r="A213" t="s">
        <v>423</v>
      </c>
      <c r="B213" t="str">
        <f>SUBSTITUTE(SUBSTITUTE(SUBSTITUTE(SUBSTITUTE(SUBSTITUTE(WA_CDPs[[#This Row],[NAME]]," Tribal Community CDP, Washington","")," CDP, Washington","")," city, Washington","")," town, Washington","")," village, Washington","")</f>
        <v>Garfield</v>
      </c>
      <c r="C213" t="s">
        <v>1478</v>
      </c>
      <c r="D213" t="s">
        <v>422</v>
      </c>
    </row>
    <row r="214" spans="1:4">
      <c r="A214" t="s">
        <v>425</v>
      </c>
      <c r="B214" t="str">
        <f>SUBSTITUTE(SUBSTITUTE(SUBSTITUTE(SUBSTITUTE(SUBSTITUTE(WA_CDPs[[#This Row],[NAME]]," Tribal Community CDP, Washington","")," CDP, Washington","")," city, Washington","")," town, Washington","")," village, Washington","")</f>
        <v>Garrett</v>
      </c>
      <c r="C214" t="s">
        <v>1479</v>
      </c>
      <c r="D214" t="s">
        <v>424</v>
      </c>
    </row>
    <row r="215" spans="1:4">
      <c r="A215" t="s">
        <v>427</v>
      </c>
      <c r="B215" t="str">
        <f>SUBSTITUTE(SUBSTITUTE(SUBSTITUTE(SUBSTITUTE(SUBSTITUTE(WA_CDPs[[#This Row],[NAME]]," Tribal Community CDP, Washington","")," CDP, Washington","")," city, Washington","")," town, Washington","")," village, Washington","")</f>
        <v>Geneva</v>
      </c>
      <c r="C215" t="s">
        <v>1480</v>
      </c>
      <c r="D215" t="s">
        <v>426</v>
      </c>
    </row>
    <row r="216" spans="1:4">
      <c r="A216" t="s">
        <v>429</v>
      </c>
      <c r="B216" t="str">
        <f>SUBSTITUTE(SUBSTITUTE(SUBSTITUTE(SUBSTITUTE(SUBSTITUTE(WA_CDPs[[#This Row],[NAME]]," Tribal Community CDP, Washington","")," CDP, Washington","")," city, Washington","")," town, Washington","")," village, Washington","")</f>
        <v>George</v>
      </c>
      <c r="C216" t="s">
        <v>1481</v>
      </c>
      <c r="D216" t="s">
        <v>428</v>
      </c>
    </row>
    <row r="217" spans="1:4">
      <c r="A217" t="s">
        <v>431</v>
      </c>
      <c r="B217" t="str">
        <f>SUBSTITUTE(SUBSTITUTE(SUBSTITUTE(SUBSTITUTE(SUBSTITUTE(WA_CDPs[[#This Row],[NAME]]," Tribal Community CDP, Washington","")," CDP, Washington","")," city, Washington","")," town, Washington","")," village, Washington","")</f>
        <v>Gig Harbor</v>
      </c>
      <c r="C217" t="s">
        <v>1482</v>
      </c>
      <c r="D217" t="s">
        <v>430</v>
      </c>
    </row>
    <row r="218" spans="1:4">
      <c r="A218" t="s">
        <v>433</v>
      </c>
      <c r="B218" t="str">
        <f>SUBSTITUTE(SUBSTITUTE(SUBSTITUTE(SUBSTITUTE(SUBSTITUTE(WA_CDPs[[#This Row],[NAME]]," Tribal Community CDP, Washington","")," CDP, Washington","")," city, Washington","")," town, Washington","")," village, Washington","")</f>
        <v>Glacier</v>
      </c>
      <c r="C218" t="s">
        <v>1483</v>
      </c>
      <c r="D218" t="s">
        <v>432</v>
      </c>
    </row>
    <row r="219" spans="1:4">
      <c r="A219" t="s">
        <v>435</v>
      </c>
      <c r="B219" t="str">
        <f>SUBSTITUTE(SUBSTITUTE(SUBSTITUTE(SUBSTITUTE(SUBSTITUTE(WA_CDPs[[#This Row],[NAME]]," Tribal Community CDP, Washington","")," CDP, Washington","")," city, Washington","")," town, Washington","")," village, Washington","")</f>
        <v>Gleed</v>
      </c>
      <c r="C219" t="s">
        <v>1484</v>
      </c>
      <c r="D219" t="s">
        <v>434</v>
      </c>
    </row>
    <row r="220" spans="1:4">
      <c r="A220" t="s">
        <v>437</v>
      </c>
      <c r="B220" t="str">
        <f>SUBSTITUTE(SUBSTITUTE(SUBSTITUTE(SUBSTITUTE(SUBSTITUTE(WA_CDPs[[#This Row],[NAME]]," Tribal Community CDP, Washington","")," CDP, Washington","")," city, Washington","")," town, Washington","")," village, Washington","")</f>
        <v>Glenwood</v>
      </c>
      <c r="C220" t="s">
        <v>1485</v>
      </c>
      <c r="D220" t="s">
        <v>436</v>
      </c>
    </row>
    <row r="221" spans="1:4">
      <c r="A221" t="s">
        <v>439</v>
      </c>
      <c r="B221" t="str">
        <f>SUBSTITUTE(SUBSTITUTE(SUBSTITUTE(SUBSTITUTE(SUBSTITUTE(WA_CDPs[[#This Row],[NAME]]," Tribal Community CDP, Washington","")," CDP, Washington","")," city, Washington","")," town, Washington","")," village, Washington","")</f>
        <v>Gold Bar</v>
      </c>
      <c r="C221" t="s">
        <v>1486</v>
      </c>
      <c r="D221" t="s">
        <v>438</v>
      </c>
    </row>
    <row r="222" spans="1:4">
      <c r="A222" t="s">
        <v>441</v>
      </c>
      <c r="B222" t="str">
        <f>SUBSTITUTE(SUBSTITUTE(SUBSTITUTE(SUBSTITUTE(SUBSTITUTE(WA_CDPs[[#This Row],[NAME]]," Tribal Community CDP, Washington","")," CDP, Washington","")," city, Washington","")," town, Washington","")," village, Washington","")</f>
        <v>Goldendale</v>
      </c>
      <c r="C222" t="s">
        <v>1487</v>
      </c>
      <c r="D222" t="s">
        <v>440</v>
      </c>
    </row>
    <row r="223" spans="1:4">
      <c r="A223" t="s">
        <v>443</v>
      </c>
      <c r="B223" t="str">
        <f>SUBSTITUTE(SUBSTITUTE(SUBSTITUTE(SUBSTITUTE(SUBSTITUTE(WA_CDPs[[#This Row],[NAME]]," Tribal Community CDP, Washington","")," CDP, Washington","")," city, Washington","")," town, Washington","")," village, Washington","")</f>
        <v>Gorst</v>
      </c>
      <c r="C223" t="s">
        <v>1488</v>
      </c>
      <c r="D223" t="s">
        <v>442</v>
      </c>
    </row>
    <row r="224" spans="1:4">
      <c r="A224" t="s">
        <v>445</v>
      </c>
      <c r="B224" t="str">
        <f>SUBSTITUTE(SUBSTITUTE(SUBSTITUTE(SUBSTITUTE(SUBSTITUTE(WA_CDPs[[#This Row],[NAME]]," Tribal Community CDP, Washington","")," CDP, Washington","")," city, Washington","")," town, Washington","")," village, Washington","")</f>
        <v>Graham</v>
      </c>
      <c r="C224" t="s">
        <v>1489</v>
      </c>
      <c r="D224" t="s">
        <v>444</v>
      </c>
    </row>
    <row r="225" spans="1:4">
      <c r="A225" t="s">
        <v>447</v>
      </c>
      <c r="B225" t="str">
        <f>SUBSTITUTE(SUBSTITUTE(SUBSTITUTE(SUBSTITUTE(SUBSTITUTE(WA_CDPs[[#This Row],[NAME]]," Tribal Community CDP, Washington","")," CDP, Washington","")," city, Washington","")," town, Washington","")," village, Washington","")</f>
        <v>Grand Coulee</v>
      </c>
      <c r="C225" t="s">
        <v>1490</v>
      </c>
      <c r="D225" t="s">
        <v>446</v>
      </c>
    </row>
    <row r="226" spans="1:4">
      <c r="A226" t="s">
        <v>449</v>
      </c>
      <c r="B226" t="str">
        <f>SUBSTITUTE(SUBSTITUTE(SUBSTITUTE(SUBSTITUTE(SUBSTITUTE(WA_CDPs[[#This Row],[NAME]]," Tribal Community CDP, Washington","")," CDP, Washington","")," city, Washington","")," town, Washington","")," village, Washington","")</f>
        <v>Grand Mound</v>
      </c>
      <c r="C226" t="s">
        <v>1491</v>
      </c>
      <c r="D226" t="s">
        <v>448</v>
      </c>
    </row>
    <row r="227" spans="1:4">
      <c r="A227" t="s">
        <v>451</v>
      </c>
      <c r="B227" t="str">
        <f>SUBSTITUTE(SUBSTITUTE(SUBSTITUTE(SUBSTITUTE(SUBSTITUTE(WA_CDPs[[#This Row],[NAME]]," Tribal Community CDP, Washington","")," CDP, Washington","")," city, Washington","")," town, Washington","")," village, Washington","")</f>
        <v>Grandview</v>
      </c>
      <c r="C227" t="s">
        <v>1492</v>
      </c>
      <c r="D227" t="s">
        <v>450</v>
      </c>
    </row>
    <row r="228" spans="1:4">
      <c r="A228" t="s">
        <v>453</v>
      </c>
      <c r="B228" t="str">
        <f>SUBSTITUTE(SUBSTITUTE(SUBSTITUTE(SUBSTITUTE(SUBSTITUTE(WA_CDPs[[#This Row],[NAME]]," Tribal Community CDP, Washington","")," CDP, Washington","")," city, Washington","")," town, Washington","")," village, Washington","")</f>
        <v>Granger</v>
      </c>
      <c r="C228" t="s">
        <v>1493</v>
      </c>
      <c r="D228" t="s">
        <v>452</v>
      </c>
    </row>
    <row r="229" spans="1:4">
      <c r="A229" t="s">
        <v>455</v>
      </c>
      <c r="B229" t="str">
        <f>SUBSTITUTE(SUBSTITUTE(SUBSTITUTE(SUBSTITUTE(SUBSTITUTE(WA_CDPs[[#This Row],[NAME]]," Tribal Community CDP, Washington","")," CDP, Washington","")," city, Washington","")," town, Washington","")," village, Washington","")</f>
        <v>Granite Falls</v>
      </c>
      <c r="C229" t="s">
        <v>1494</v>
      </c>
      <c r="D229" t="s">
        <v>454</v>
      </c>
    </row>
    <row r="230" spans="1:4">
      <c r="A230" t="s">
        <v>457</v>
      </c>
      <c r="B230" t="str">
        <f>SUBSTITUTE(SUBSTITUTE(SUBSTITUTE(SUBSTITUTE(SUBSTITUTE(WA_CDPs[[#This Row],[NAME]]," Tribal Community CDP, Washington","")," CDP, Washington","")," city, Washington","")," town, Washington","")," village, Washington","")</f>
        <v>Grapeview</v>
      </c>
      <c r="C230" t="s">
        <v>1495</v>
      </c>
      <c r="D230" t="s">
        <v>456</v>
      </c>
    </row>
    <row r="231" spans="1:4">
      <c r="A231" t="s">
        <v>459</v>
      </c>
      <c r="B231" t="str">
        <f>SUBSTITUTE(SUBSTITUTE(SUBSTITUTE(SUBSTITUTE(SUBSTITUTE(WA_CDPs[[#This Row],[NAME]]," Tribal Community CDP, Washington","")," CDP, Washington","")," city, Washington","")," town, Washington","")," village, Washington","")</f>
        <v>Grayland</v>
      </c>
      <c r="C231" t="s">
        <v>1496</v>
      </c>
      <c r="D231" t="s">
        <v>458</v>
      </c>
    </row>
    <row r="232" spans="1:4">
      <c r="A232" t="s">
        <v>461</v>
      </c>
      <c r="B232" t="str">
        <f>SUBSTITUTE(SUBSTITUTE(SUBSTITUTE(SUBSTITUTE(SUBSTITUTE(WA_CDPs[[#This Row],[NAME]]," Tribal Community CDP, Washington","")," CDP, Washington","")," city, Washington","")," town, Washington","")," village, Washington","")</f>
        <v>Grays River</v>
      </c>
      <c r="C232" t="s">
        <v>1497</v>
      </c>
      <c r="D232" t="s">
        <v>460</v>
      </c>
    </row>
    <row r="233" spans="1:4">
      <c r="A233" t="s">
        <v>463</v>
      </c>
      <c r="B233" t="str">
        <f>SUBSTITUTE(SUBSTITUTE(SUBSTITUTE(SUBSTITUTE(SUBSTITUTE(WA_CDPs[[#This Row],[NAME]]," Tribal Community CDP, Washington","")," CDP, Washington","")," city, Washington","")," town, Washington","")," village, Washington","")</f>
        <v>Green Bluff</v>
      </c>
      <c r="C233" t="s">
        <v>1498</v>
      </c>
      <c r="D233" t="s">
        <v>462</v>
      </c>
    </row>
    <row r="234" spans="1:4">
      <c r="A234" t="s">
        <v>465</v>
      </c>
      <c r="B234" t="str">
        <f>SUBSTITUTE(SUBSTITUTE(SUBSTITUTE(SUBSTITUTE(SUBSTITUTE(WA_CDPs[[#This Row],[NAME]]," Tribal Community CDP, Washington","")," CDP, Washington","")," city, Washington","")," town, Washington","")," village, Washington","")</f>
        <v>Greenwater</v>
      </c>
      <c r="C234" t="s">
        <v>1499</v>
      </c>
      <c r="D234" t="s">
        <v>464</v>
      </c>
    </row>
    <row r="235" spans="1:4">
      <c r="A235" t="s">
        <v>467</v>
      </c>
      <c r="B235" t="str">
        <f>SUBSTITUTE(SUBSTITUTE(SUBSTITUTE(SUBSTITUTE(SUBSTITUTE(WA_CDPs[[#This Row],[NAME]]," Tribal Community CDP, Washington","")," CDP, Washington","")," city, Washington","")," town, Washington","")," village, Washington","")</f>
        <v>Hamilton</v>
      </c>
      <c r="C235" t="s">
        <v>1500</v>
      </c>
      <c r="D235" t="s">
        <v>466</v>
      </c>
    </row>
    <row r="236" spans="1:4">
      <c r="A236" t="s">
        <v>469</v>
      </c>
      <c r="B236" t="str">
        <f>SUBSTITUTE(SUBSTITUTE(SUBSTITUTE(SUBSTITUTE(SUBSTITUTE(WA_CDPs[[#This Row],[NAME]]," Tribal Community CDP, Washington","")," CDP, Washington","")," city, Washington","")," town, Washington","")," village, Washington","")</f>
        <v>Hansville</v>
      </c>
      <c r="C236" t="s">
        <v>1501</v>
      </c>
      <c r="D236" t="s">
        <v>468</v>
      </c>
    </row>
    <row r="237" spans="1:4">
      <c r="A237" t="s">
        <v>471</v>
      </c>
      <c r="B237" t="str">
        <f>SUBSTITUTE(SUBSTITUTE(SUBSTITUTE(SUBSTITUTE(SUBSTITUTE(WA_CDPs[[#This Row],[NAME]]," Tribal Community CDP, Washington","")," CDP, Washington","")," city, Washington","")," town, Washington","")," village, Washington","")</f>
        <v>Harrah</v>
      </c>
      <c r="C237" t="s">
        <v>1502</v>
      </c>
      <c r="D237" t="s">
        <v>470</v>
      </c>
    </row>
    <row r="238" spans="1:4">
      <c r="A238" t="s">
        <v>473</v>
      </c>
      <c r="B238" t="str">
        <f>SUBSTITUTE(SUBSTITUTE(SUBSTITUTE(SUBSTITUTE(SUBSTITUTE(WA_CDPs[[#This Row],[NAME]]," Tribal Community CDP, Washington","")," CDP, Washington","")," city, Washington","")," town, Washington","")," village, Washington","")</f>
        <v>Harrington</v>
      </c>
      <c r="C238" t="s">
        <v>1503</v>
      </c>
      <c r="D238" t="s">
        <v>472</v>
      </c>
    </row>
    <row r="239" spans="1:4">
      <c r="A239" t="s">
        <v>475</v>
      </c>
      <c r="B239" t="str">
        <f>SUBSTITUTE(SUBSTITUTE(SUBSTITUTE(SUBSTITUTE(SUBSTITUTE(WA_CDPs[[#This Row],[NAME]]," Tribal Community CDP, Washington","")," CDP, Washington","")," city, Washington","")," town, Washington","")," village, Washington","")</f>
        <v>Hartline</v>
      </c>
      <c r="C239" t="s">
        <v>1504</v>
      </c>
      <c r="D239" t="s">
        <v>474</v>
      </c>
    </row>
    <row r="240" spans="1:4">
      <c r="A240" t="s">
        <v>477</v>
      </c>
      <c r="B240" t="str">
        <f>SUBSTITUTE(SUBSTITUTE(SUBSTITUTE(SUBSTITUTE(SUBSTITUTE(WA_CDPs[[#This Row],[NAME]]," Tribal Community CDP, Washington","")," CDP, Washington","")," city, Washington","")," town, Washington","")," village, Washington","")</f>
        <v>Hat Island</v>
      </c>
      <c r="C240" t="s">
        <v>1505</v>
      </c>
      <c r="D240" t="s">
        <v>476</v>
      </c>
    </row>
    <row r="241" spans="1:4">
      <c r="A241" t="s">
        <v>479</v>
      </c>
      <c r="B241" t="str">
        <f>SUBSTITUTE(SUBSTITUTE(SUBSTITUTE(SUBSTITUTE(SUBSTITUTE(WA_CDPs[[#This Row],[NAME]]," Tribal Community CDP, Washington","")," CDP, Washington","")," city, Washington","")," town, Washington","")," village, Washington","")</f>
        <v>Hatton</v>
      </c>
      <c r="C241" t="s">
        <v>1506</v>
      </c>
      <c r="D241" t="s">
        <v>478</v>
      </c>
    </row>
    <row r="242" spans="1:4">
      <c r="A242" t="s">
        <v>481</v>
      </c>
      <c r="B242" t="str">
        <f>SUBSTITUTE(SUBSTITUTE(SUBSTITUTE(SUBSTITUTE(SUBSTITUTE(WA_CDPs[[#This Row],[NAME]]," Tribal Community CDP, Washington","")," CDP, Washington","")," city, Washington","")," town, Washington","")," village, Washington","")</f>
        <v>Hazel Dell</v>
      </c>
      <c r="C242" t="s">
        <v>1507</v>
      </c>
      <c r="D242" t="s">
        <v>480</v>
      </c>
    </row>
    <row r="243" spans="1:4">
      <c r="A243" t="s">
        <v>483</v>
      </c>
      <c r="B243" t="str">
        <f>SUBSTITUTE(SUBSTITUTE(SUBSTITUTE(SUBSTITUTE(SUBSTITUTE(WA_CDPs[[#This Row],[NAME]]," Tribal Community CDP, Washington","")," CDP, Washington","")," city, Washington","")," town, Washington","")," village, Washington","")</f>
        <v>Herron Island</v>
      </c>
      <c r="C243" t="s">
        <v>1508</v>
      </c>
      <c r="D243" t="s">
        <v>482</v>
      </c>
    </row>
    <row r="244" spans="1:4">
      <c r="A244" t="s">
        <v>485</v>
      </c>
      <c r="B244" t="str">
        <f>SUBSTITUTE(SUBSTITUTE(SUBSTITUTE(SUBSTITUTE(SUBSTITUTE(WA_CDPs[[#This Row],[NAME]]," Tribal Community CDP, Washington","")," CDP, Washington","")," city, Washington","")," town, Washington","")," village, Washington","")</f>
        <v>High Bridge</v>
      </c>
      <c r="C244" t="s">
        <v>1509</v>
      </c>
      <c r="D244" t="s">
        <v>484</v>
      </c>
    </row>
    <row r="245" spans="1:4">
      <c r="A245" t="s">
        <v>487</v>
      </c>
      <c r="B245" t="str">
        <f>SUBSTITUTE(SUBSTITUTE(SUBSTITUTE(SUBSTITUTE(SUBSTITUTE(WA_CDPs[[#This Row],[NAME]]," Tribal Community CDP, Washington","")," CDP, Washington","")," city, Washington","")," town, Washington","")," village, Washington","")</f>
        <v>Hobart</v>
      </c>
      <c r="C245" t="s">
        <v>1510</v>
      </c>
      <c r="D245" t="s">
        <v>486</v>
      </c>
    </row>
    <row r="246" spans="1:4">
      <c r="A246" t="s">
        <v>489</v>
      </c>
      <c r="B246" t="str">
        <f>SUBSTITUTE(SUBSTITUTE(SUBSTITUTE(SUBSTITUTE(SUBSTITUTE(WA_CDPs[[#This Row],[NAME]]," Tribal Community CDP, Washington","")," CDP, Washington","")," city, Washington","")," town, Washington","")," village, Washington","")</f>
        <v>Hockinson</v>
      </c>
      <c r="C246" t="s">
        <v>1511</v>
      </c>
      <c r="D246" t="s">
        <v>488</v>
      </c>
    </row>
    <row r="247" spans="1:4">
      <c r="A247" t="s">
        <v>491</v>
      </c>
      <c r="B247" t="str">
        <f>SUBSTITUTE(SUBSTITUTE(SUBSTITUTE(SUBSTITUTE(SUBSTITUTE(WA_CDPs[[#This Row],[NAME]]," Tribal Community CDP, Washington","")," CDP, Washington","")," city, Washington","")," town, Washington","")," village, Washington","")</f>
        <v>Hogans Corner</v>
      </c>
      <c r="C247" t="s">
        <v>1512</v>
      </c>
      <c r="D247" t="s">
        <v>490</v>
      </c>
    </row>
    <row r="248" spans="1:4">
      <c r="A248" t="s">
        <v>493</v>
      </c>
      <c r="B248" t="str">
        <f>SUBSTITUTE(SUBSTITUTE(SUBSTITUTE(SUBSTITUTE(SUBSTITUTE(WA_CDPs[[#This Row],[NAME]]," Tribal Community CDP, Washington","")," CDP, Washington","")," city, Washington","")," town, Washington","")," village, Washington","")</f>
        <v>Home</v>
      </c>
      <c r="C248" t="s">
        <v>1513</v>
      </c>
      <c r="D248" t="s">
        <v>492</v>
      </c>
    </row>
    <row r="249" spans="1:4">
      <c r="A249" t="s">
        <v>495</v>
      </c>
      <c r="B249" t="str">
        <f>SUBSTITUTE(SUBSTITUTE(SUBSTITUTE(SUBSTITUTE(SUBSTITUTE(WA_CDPs[[#This Row],[NAME]]," Tribal Community CDP, Washington","")," CDP, Washington","")," city, Washington","")," town, Washington","")," village, Washington","")</f>
        <v>Hoodsport</v>
      </c>
      <c r="C249" t="s">
        <v>1514</v>
      </c>
      <c r="D249" t="s">
        <v>494</v>
      </c>
    </row>
    <row r="250" spans="1:4">
      <c r="A250" t="s">
        <v>497</v>
      </c>
      <c r="B250" t="str">
        <f>SUBSTITUTE(SUBSTITUTE(SUBSTITUTE(SUBSTITUTE(SUBSTITUTE(WA_CDPs[[#This Row],[NAME]]," Tribal Community CDP, Washington","")," CDP, Washington","")," city, Washington","")," town, Washington","")," village, Washington","")</f>
        <v>Hoquiam</v>
      </c>
      <c r="C250" t="s">
        <v>1515</v>
      </c>
      <c r="D250" t="s">
        <v>496</v>
      </c>
    </row>
    <row r="251" spans="1:4">
      <c r="A251" t="s">
        <v>499</v>
      </c>
      <c r="B251" t="str">
        <f>SUBSTITUTE(SUBSTITUTE(SUBSTITUTE(SUBSTITUTE(SUBSTITUTE(WA_CDPs[[#This Row],[NAME]]," Tribal Community CDP, Washington","")," CDP, Washington","")," city, Washington","")," town, Washington","")," village, Washington","")</f>
        <v>Humptulips</v>
      </c>
      <c r="C251" t="s">
        <v>1516</v>
      </c>
      <c r="D251" t="s">
        <v>498</v>
      </c>
    </row>
    <row r="252" spans="1:4">
      <c r="A252" t="s">
        <v>501</v>
      </c>
      <c r="B252" t="str">
        <f>SUBSTITUTE(SUBSTITUTE(SUBSTITUTE(SUBSTITUTE(SUBSTITUTE(WA_CDPs[[#This Row],[NAME]]," Tribal Community CDP, Washington","")," CDP, Washington","")," city, Washington","")," town, Washington","")," village, Washington","")</f>
        <v>Hunts Point</v>
      </c>
      <c r="C252" t="s">
        <v>1517</v>
      </c>
      <c r="D252" t="s">
        <v>500</v>
      </c>
    </row>
    <row r="253" spans="1:4">
      <c r="A253" t="s">
        <v>503</v>
      </c>
      <c r="B253" t="str">
        <f>SUBSTITUTE(SUBSTITUTE(SUBSTITUTE(SUBSTITUTE(SUBSTITUTE(WA_CDPs[[#This Row],[NAME]]," Tribal Community CDP, Washington","")," CDP, Washington","")," city, Washington","")," town, Washington","")," village, Washington","")</f>
        <v>Ilwaco</v>
      </c>
      <c r="C253" t="s">
        <v>1518</v>
      </c>
      <c r="D253" t="s">
        <v>502</v>
      </c>
    </row>
    <row r="254" spans="1:4">
      <c r="A254" t="s">
        <v>505</v>
      </c>
      <c r="B254" t="str">
        <f>SUBSTITUTE(SUBSTITUTE(SUBSTITUTE(SUBSTITUTE(SUBSTITUTE(WA_CDPs[[#This Row],[NAME]]," Tribal Community CDP, Washington","")," CDP, Washington","")," city, Washington","")," town, Washington","")," village, Washington","")</f>
        <v>Inchelium</v>
      </c>
      <c r="C254" t="s">
        <v>1519</v>
      </c>
      <c r="D254" t="s">
        <v>504</v>
      </c>
    </row>
    <row r="255" spans="1:4">
      <c r="A255" t="s">
        <v>507</v>
      </c>
      <c r="B255" t="str">
        <f>SUBSTITUTE(SUBSTITUTE(SUBSTITUTE(SUBSTITUTE(SUBSTITUTE(WA_CDPs[[#This Row],[NAME]]," Tribal Community CDP, Washington","")," CDP, Washington","")," city, Washington","")," town, Washington","")," village, Washington","")</f>
        <v>Index</v>
      </c>
      <c r="C255" t="s">
        <v>1520</v>
      </c>
      <c r="D255" t="s">
        <v>506</v>
      </c>
    </row>
    <row r="256" spans="1:4">
      <c r="A256" t="s">
        <v>509</v>
      </c>
      <c r="B256" t="str">
        <f>SUBSTITUTE(SUBSTITUTE(SUBSTITUTE(SUBSTITUTE(SUBSTITUTE(WA_CDPs[[#This Row],[NAME]]," Tribal Community CDP, Washington","")," CDP, Washington","")," city, Washington","")," town, Washington","")," village, Washington","")</f>
        <v>Indianola</v>
      </c>
      <c r="C256" t="s">
        <v>1521</v>
      </c>
      <c r="D256" t="s">
        <v>508</v>
      </c>
    </row>
    <row r="257" spans="1:4">
      <c r="A257" t="s">
        <v>511</v>
      </c>
      <c r="B257" t="str">
        <f>SUBSTITUTE(SUBSTITUTE(SUBSTITUTE(SUBSTITUTE(SUBSTITUTE(WA_CDPs[[#This Row],[NAME]]," Tribal Community CDP, Washington","")," CDP, Washington","")," city, Washington","")," town, Washington","")," village, Washington","")</f>
        <v>Ione</v>
      </c>
      <c r="C257" t="s">
        <v>1522</v>
      </c>
      <c r="D257" t="s">
        <v>510</v>
      </c>
    </row>
    <row r="258" spans="1:4">
      <c r="A258" t="s">
        <v>513</v>
      </c>
      <c r="B258" t="str">
        <f>SUBSTITUTE(SUBSTITUTE(SUBSTITUTE(SUBSTITUTE(SUBSTITUTE(WA_CDPs[[#This Row],[NAME]]," Tribal Community CDP, Washington","")," CDP, Washington","")," city, Washington","")," town, Washington","")," village, Washington","")</f>
        <v>Issaquah</v>
      </c>
      <c r="C258" t="s">
        <v>1523</v>
      </c>
      <c r="D258" t="s">
        <v>512</v>
      </c>
    </row>
    <row r="259" spans="1:4">
      <c r="A259" t="s">
        <v>515</v>
      </c>
      <c r="B259" t="str">
        <f>SUBSTITUTE(SUBSTITUTE(SUBSTITUTE(SUBSTITUTE(SUBSTITUTE(WA_CDPs[[#This Row],[NAME]]," Tribal Community CDP, Washington","")," CDP, Washington","")," city, Washington","")," town, Washington","")," village, Washington","")</f>
        <v>Jamestown</v>
      </c>
      <c r="C259" t="s">
        <v>1524</v>
      </c>
      <c r="D259" t="s">
        <v>514</v>
      </c>
    </row>
    <row r="260" spans="1:4">
      <c r="A260" t="s">
        <v>517</v>
      </c>
      <c r="B260" t="str">
        <f>SUBSTITUTE(SUBSTITUTE(SUBSTITUTE(SUBSTITUTE(SUBSTITUTE(WA_CDPs[[#This Row],[NAME]]," Tribal Community CDP, Washington","")," CDP, Washington","")," city, Washington","")," town, Washington","")," village, Washington","")</f>
        <v>Kahlotus</v>
      </c>
      <c r="C260" t="s">
        <v>1525</v>
      </c>
      <c r="D260" t="s">
        <v>516</v>
      </c>
    </row>
    <row r="261" spans="1:4">
      <c r="A261" t="s">
        <v>519</v>
      </c>
      <c r="B261" t="str">
        <f>SUBSTITUTE(SUBSTITUTE(SUBSTITUTE(SUBSTITUTE(SUBSTITUTE(WA_CDPs[[#This Row],[NAME]]," Tribal Community CDP, Washington","")," CDP, Washington","")," city, Washington","")," town, Washington","")," village, Washington","")</f>
        <v>Kalama</v>
      </c>
      <c r="C261" t="s">
        <v>1526</v>
      </c>
      <c r="D261" t="s">
        <v>518</v>
      </c>
    </row>
    <row r="262" spans="1:4">
      <c r="A262" t="s">
        <v>521</v>
      </c>
      <c r="B262" t="str">
        <f>SUBSTITUTE(SUBSTITUTE(SUBSTITUTE(SUBSTITUTE(SUBSTITUTE(WA_CDPs[[#This Row],[NAME]]," Tribal Community CDP, Washington","")," CDP, Washington","")," city, Washington","")," town, Washington","")," village, Washington","")</f>
        <v>Kapowsin</v>
      </c>
      <c r="C262" t="s">
        <v>1527</v>
      </c>
      <c r="D262" t="s">
        <v>520</v>
      </c>
    </row>
    <row r="263" spans="1:4">
      <c r="A263" t="s">
        <v>523</v>
      </c>
      <c r="B263" t="str">
        <f>SUBSTITUTE(SUBSTITUTE(SUBSTITUTE(SUBSTITUTE(SUBSTITUTE(WA_CDPs[[#This Row],[NAME]]," Tribal Community CDP, Washington","")," CDP, Washington","")," city, Washington","")," town, Washington","")," village, Washington","")</f>
        <v>Kayak Point</v>
      </c>
      <c r="C263" t="s">
        <v>1528</v>
      </c>
      <c r="D263" t="s">
        <v>522</v>
      </c>
    </row>
    <row r="264" spans="1:4">
      <c r="A264" t="s">
        <v>525</v>
      </c>
      <c r="B264" t="str">
        <f>SUBSTITUTE(SUBSTITUTE(SUBSTITUTE(SUBSTITUTE(SUBSTITUTE(WA_CDPs[[#This Row],[NAME]]," Tribal Community CDP, Washington","")," CDP, Washington","")," city, Washington","")," town, Washington","")," village, Washington","")</f>
        <v>Keller</v>
      </c>
      <c r="C264" t="s">
        <v>1529</v>
      </c>
      <c r="D264" t="s">
        <v>524</v>
      </c>
    </row>
    <row r="265" spans="1:4">
      <c r="A265" t="s">
        <v>527</v>
      </c>
      <c r="B265" t="str">
        <f>SUBSTITUTE(SUBSTITUTE(SUBSTITUTE(SUBSTITUTE(SUBSTITUTE(WA_CDPs[[#This Row],[NAME]]," Tribal Community CDP, Washington","")," CDP, Washington","")," city, Washington","")," town, Washington","")," village, Washington","")</f>
        <v>Kelso</v>
      </c>
      <c r="C265" t="s">
        <v>1530</v>
      </c>
      <c r="D265" t="s">
        <v>526</v>
      </c>
    </row>
    <row r="266" spans="1:4">
      <c r="A266" t="s">
        <v>529</v>
      </c>
      <c r="B266" t="str">
        <f>SUBSTITUTE(SUBSTITUTE(SUBSTITUTE(SUBSTITUTE(SUBSTITUTE(WA_CDPs[[#This Row],[NAME]]," Tribal Community CDP, Washington","")," CDP, Washington","")," city, Washington","")," town, Washington","")," village, Washington","")</f>
        <v>Kendall</v>
      </c>
      <c r="C266" t="s">
        <v>1531</v>
      </c>
      <c r="D266" t="s">
        <v>528</v>
      </c>
    </row>
    <row r="267" spans="1:4">
      <c r="A267" t="s">
        <v>531</v>
      </c>
      <c r="B267" t="str">
        <f>SUBSTITUTE(SUBSTITUTE(SUBSTITUTE(SUBSTITUTE(SUBSTITUTE(WA_CDPs[[#This Row],[NAME]]," Tribal Community CDP, Washington","")," CDP, Washington","")," city, Washington","")," town, Washington","")," village, Washington","")</f>
        <v>Kenmore</v>
      </c>
      <c r="C267" t="s">
        <v>1532</v>
      </c>
      <c r="D267" t="s">
        <v>530</v>
      </c>
    </row>
    <row r="268" spans="1:4">
      <c r="A268" t="s">
        <v>533</v>
      </c>
      <c r="B268" t="str">
        <f>SUBSTITUTE(SUBSTITUTE(SUBSTITUTE(SUBSTITUTE(SUBSTITUTE(WA_CDPs[[#This Row],[NAME]]," Tribal Community CDP, Washington","")," CDP, Washington","")," city, Washington","")," town, Washington","")," village, Washington","")</f>
        <v>Kennewick</v>
      </c>
      <c r="C268" t="s">
        <v>1533</v>
      </c>
      <c r="D268" t="s">
        <v>532</v>
      </c>
    </row>
    <row r="269" spans="1:4">
      <c r="A269" t="s">
        <v>535</v>
      </c>
      <c r="B269" t="str">
        <f>SUBSTITUTE(SUBSTITUTE(SUBSTITUTE(SUBSTITUTE(SUBSTITUTE(WA_CDPs[[#This Row],[NAME]]," Tribal Community CDP, Washington","")," CDP, Washington","")," city, Washington","")," town, Washington","")," village, Washington","")</f>
        <v>Kent</v>
      </c>
      <c r="C269" t="s">
        <v>1534</v>
      </c>
      <c r="D269" t="s">
        <v>534</v>
      </c>
    </row>
    <row r="270" spans="1:4">
      <c r="A270" t="s">
        <v>537</v>
      </c>
      <c r="B270" t="str">
        <f>SUBSTITUTE(SUBSTITUTE(SUBSTITUTE(SUBSTITUTE(SUBSTITUTE(WA_CDPs[[#This Row],[NAME]]," Tribal Community CDP, Washington","")," CDP, Washington","")," city, Washington","")," town, Washington","")," village, Washington","")</f>
        <v>Ketron Island</v>
      </c>
      <c r="C270" t="s">
        <v>1535</v>
      </c>
      <c r="D270" t="s">
        <v>536</v>
      </c>
    </row>
    <row r="271" spans="1:4">
      <c r="A271" t="s">
        <v>539</v>
      </c>
      <c r="B271" t="str">
        <f>SUBSTITUTE(SUBSTITUTE(SUBSTITUTE(SUBSTITUTE(SUBSTITUTE(WA_CDPs[[#This Row],[NAME]]," Tribal Community CDP, Washington","")," CDP, Washington","")," city, Washington","")," town, Washington","")," village, Washington","")</f>
        <v>Kettle Falls</v>
      </c>
      <c r="C271" t="s">
        <v>1536</v>
      </c>
      <c r="D271" t="s">
        <v>538</v>
      </c>
    </row>
    <row r="272" spans="1:4">
      <c r="A272" t="s">
        <v>541</v>
      </c>
      <c r="B272" t="str">
        <f>SUBSTITUTE(SUBSTITUTE(SUBSTITUTE(SUBSTITUTE(SUBSTITUTE(WA_CDPs[[#This Row],[NAME]]," Tribal Community CDP, Washington","")," CDP, Washington","")," city, Washington","")," town, Washington","")," village, Washington","")</f>
        <v>Key Center</v>
      </c>
      <c r="C272" t="s">
        <v>1537</v>
      </c>
      <c r="D272" t="s">
        <v>540</v>
      </c>
    </row>
    <row r="273" spans="1:4">
      <c r="A273" t="s">
        <v>543</v>
      </c>
      <c r="B273" t="str">
        <f>SUBSTITUTE(SUBSTITUTE(SUBSTITUTE(SUBSTITUTE(SUBSTITUTE(WA_CDPs[[#This Row],[NAME]]," Tribal Community CDP, Washington","")," CDP, Washington","")," city, Washington","")," town, Washington","")," village, Washington","")</f>
        <v>Keyport</v>
      </c>
      <c r="C273" t="s">
        <v>1538</v>
      </c>
      <c r="D273" t="s">
        <v>542</v>
      </c>
    </row>
    <row r="274" spans="1:4">
      <c r="A274" t="s">
        <v>545</v>
      </c>
      <c r="B274" t="str">
        <f>SUBSTITUTE(SUBSTITUTE(SUBSTITUTE(SUBSTITUTE(SUBSTITUTE(WA_CDPs[[#This Row],[NAME]]," Tribal Community CDP, Washington","")," CDP, Washington","")," city, Washington","")," town, Washington","")," village, Washington","")</f>
        <v>Kingston</v>
      </c>
      <c r="C274" t="s">
        <v>1539</v>
      </c>
      <c r="D274" t="s">
        <v>544</v>
      </c>
    </row>
    <row r="275" spans="1:4">
      <c r="A275" t="s">
        <v>547</v>
      </c>
      <c r="B275" t="str">
        <f>SUBSTITUTE(SUBSTITUTE(SUBSTITUTE(SUBSTITUTE(SUBSTITUTE(WA_CDPs[[#This Row],[NAME]]," Tribal Community CDP, Washington","")," CDP, Washington","")," city, Washington","")," town, Washington","")," village, Washington","")</f>
        <v>Kirkland</v>
      </c>
      <c r="C275" t="s">
        <v>1540</v>
      </c>
      <c r="D275" t="s">
        <v>546</v>
      </c>
    </row>
    <row r="276" spans="1:4">
      <c r="A276" t="s">
        <v>2443</v>
      </c>
      <c r="B276" t="str">
        <f>SUBSTITUTE(SUBSTITUTE(SUBSTITUTE(SUBSTITUTE(SUBSTITUTE(WA_CDPs[[#This Row],[NAME]]," Tribal Community CDP, Washington","")," CDP, Washington","")," city, Washington","")," town, Washington","")," village, Washington","")</f>
        <v>Kitsap Lake</v>
      </c>
      <c r="C276" t="s">
        <v>2442</v>
      </c>
      <c r="D276" t="e">
        <v>#N/A</v>
      </c>
    </row>
    <row r="277" spans="1:4">
      <c r="A277" t="s">
        <v>549</v>
      </c>
      <c r="B277" t="str">
        <f>SUBSTITUTE(SUBSTITUTE(SUBSTITUTE(SUBSTITUTE(SUBSTITUTE(WA_CDPs[[#This Row],[NAME]]," Tribal Community CDP, Washington","")," CDP, Washington","")," city, Washington","")," town, Washington","")," village, Washington","")</f>
        <v>Kittitas</v>
      </c>
      <c r="C277" t="s">
        <v>1541</v>
      </c>
      <c r="D277" t="s">
        <v>548</v>
      </c>
    </row>
    <row r="278" spans="1:4">
      <c r="A278" t="s">
        <v>551</v>
      </c>
      <c r="B278" t="str">
        <f>SUBSTITUTE(SUBSTITUTE(SUBSTITUTE(SUBSTITUTE(SUBSTITUTE(WA_CDPs[[#This Row],[NAME]]," Tribal Community CDP, Washington","")," CDP, Washington","")," city, Washington","")," town, Washington","")," village, Washington","")</f>
        <v>Klickitat</v>
      </c>
      <c r="C278" t="s">
        <v>1542</v>
      </c>
      <c r="D278" t="s">
        <v>550</v>
      </c>
    </row>
    <row r="279" spans="1:4">
      <c r="A279" t="s">
        <v>2444</v>
      </c>
      <c r="B279" t="str">
        <f>SUBSTITUTE(SUBSTITUTE(SUBSTITUTE(SUBSTITUTE(SUBSTITUTE(WA_CDPs[[#This Row],[NAME]]," Tribal Community CDP, Washington","")," CDP, Washington","")," city, Washington","")," town, Washington","")," village, Washington","")</f>
        <v>Krupp (Marlin)</v>
      </c>
      <c r="C279" t="s">
        <v>1543</v>
      </c>
      <c r="D279" t="s">
        <v>552</v>
      </c>
    </row>
    <row r="280" spans="1:4">
      <c r="A280" t="s">
        <v>554</v>
      </c>
      <c r="B280" t="str">
        <f>SUBSTITUTE(SUBSTITUTE(SUBSTITUTE(SUBSTITUTE(SUBSTITUTE(WA_CDPs[[#This Row],[NAME]]," Tribal Community CDP, Washington","")," CDP, Washington","")," city, Washington","")," town, Washington","")," village, Washington","")</f>
        <v>La Center</v>
      </c>
      <c r="C280" t="s">
        <v>1544</v>
      </c>
      <c r="D280" t="s">
        <v>553</v>
      </c>
    </row>
    <row r="281" spans="1:4">
      <c r="A281" t="s">
        <v>556</v>
      </c>
      <c r="B281" t="str">
        <f>SUBSTITUTE(SUBSTITUTE(SUBSTITUTE(SUBSTITUTE(SUBSTITUTE(WA_CDPs[[#This Row],[NAME]]," Tribal Community CDP, Washington","")," CDP, Washington","")," city, Washington","")," town, Washington","")," village, Washington","")</f>
        <v>Lacey</v>
      </c>
      <c r="C281" t="s">
        <v>1545</v>
      </c>
      <c r="D281" t="s">
        <v>555</v>
      </c>
    </row>
    <row r="282" spans="1:4">
      <c r="A282" t="s">
        <v>558</v>
      </c>
      <c r="B282" t="str">
        <f>SUBSTITUTE(SUBSTITUTE(SUBSTITUTE(SUBSTITUTE(SUBSTITUTE(WA_CDPs[[#This Row],[NAME]]," Tribal Community CDP, Washington","")," CDP, Washington","")," city, Washington","")," town, Washington","")," village, Washington","")</f>
        <v>La Conner</v>
      </c>
      <c r="C282" t="s">
        <v>1546</v>
      </c>
      <c r="D282" t="s">
        <v>557</v>
      </c>
    </row>
    <row r="283" spans="1:4">
      <c r="A283" t="s">
        <v>560</v>
      </c>
      <c r="B283" t="str">
        <f>SUBSTITUTE(SUBSTITUTE(SUBSTITUTE(SUBSTITUTE(SUBSTITUTE(WA_CDPs[[#This Row],[NAME]]," Tribal Community CDP, Washington","")," CDP, Washington","")," city, Washington","")," town, Washington","")," village, Washington","")</f>
        <v>LaCrosse</v>
      </c>
      <c r="C283" t="s">
        <v>1547</v>
      </c>
      <c r="D283" t="s">
        <v>559</v>
      </c>
    </row>
    <row r="284" spans="1:4">
      <c r="A284" t="s">
        <v>562</v>
      </c>
      <c r="B284" t="str">
        <f>SUBSTITUTE(SUBSTITUTE(SUBSTITUTE(SUBSTITUTE(SUBSTITUTE(WA_CDPs[[#This Row],[NAME]]," Tribal Community CDP, Washington","")," CDP, Washington","")," city, Washington","")," town, Washington","")," village, Washington","")</f>
        <v>La Grande</v>
      </c>
      <c r="C284" t="s">
        <v>1548</v>
      </c>
      <c r="D284" t="s">
        <v>561</v>
      </c>
    </row>
    <row r="285" spans="1:4">
      <c r="A285" t="s">
        <v>564</v>
      </c>
      <c r="B285" t="str">
        <f>SUBSTITUTE(SUBSTITUTE(SUBSTITUTE(SUBSTITUTE(SUBSTITUTE(WA_CDPs[[#This Row],[NAME]]," Tribal Community CDP, Washington","")," CDP, Washington","")," city, Washington","")," town, Washington","")," village, Washington","")</f>
        <v>Lake Bosworth</v>
      </c>
      <c r="C285" t="s">
        <v>1549</v>
      </c>
      <c r="D285" t="s">
        <v>563</v>
      </c>
    </row>
    <row r="286" spans="1:4">
      <c r="A286" t="s">
        <v>566</v>
      </c>
      <c r="B286" t="str">
        <f>SUBSTITUTE(SUBSTITUTE(SUBSTITUTE(SUBSTITUTE(SUBSTITUTE(WA_CDPs[[#This Row],[NAME]]," Tribal Community CDP, Washington","")," CDP, Washington","")," city, Washington","")," town, Washington","")," village, Washington","")</f>
        <v>Lake Cassidy</v>
      </c>
      <c r="C286" t="s">
        <v>1550</v>
      </c>
      <c r="D286" t="s">
        <v>565</v>
      </c>
    </row>
    <row r="287" spans="1:4">
      <c r="A287" t="s">
        <v>568</v>
      </c>
      <c r="B287" t="str">
        <f>SUBSTITUTE(SUBSTITUTE(SUBSTITUTE(SUBSTITUTE(SUBSTITUTE(WA_CDPs[[#This Row],[NAME]]," Tribal Community CDP, Washington","")," CDP, Washington","")," city, Washington","")," town, Washington","")," village, Washington","")</f>
        <v>Lake Cavanaugh</v>
      </c>
      <c r="C287" t="s">
        <v>1551</v>
      </c>
      <c r="D287" t="s">
        <v>567</v>
      </c>
    </row>
    <row r="288" spans="1:4">
      <c r="A288" t="s">
        <v>570</v>
      </c>
      <c r="B288" t="str">
        <f>SUBSTITUTE(SUBSTITUTE(SUBSTITUTE(SUBSTITUTE(SUBSTITUTE(WA_CDPs[[#This Row],[NAME]]," Tribal Community CDP, Washington","")," CDP, Washington","")," city, Washington","")," town, Washington","")," village, Washington","")</f>
        <v>Lake Forest Park</v>
      </c>
      <c r="C288" t="s">
        <v>1552</v>
      </c>
      <c r="D288" t="s">
        <v>569</v>
      </c>
    </row>
    <row r="289" spans="1:4">
      <c r="A289" t="s">
        <v>572</v>
      </c>
      <c r="B289" t="str">
        <f>SUBSTITUTE(SUBSTITUTE(SUBSTITUTE(SUBSTITUTE(SUBSTITUTE(WA_CDPs[[#This Row],[NAME]]," Tribal Community CDP, Washington","")," CDP, Washington","")," city, Washington","")," town, Washington","")," village, Washington","")</f>
        <v>Lake Goodwin</v>
      </c>
      <c r="C289" t="s">
        <v>1553</v>
      </c>
      <c r="D289" t="s">
        <v>571</v>
      </c>
    </row>
    <row r="290" spans="1:4">
      <c r="A290" t="s">
        <v>574</v>
      </c>
      <c r="B290" t="str">
        <f>SUBSTITUTE(SUBSTITUTE(SUBSTITUTE(SUBSTITUTE(SUBSTITUTE(WA_CDPs[[#This Row],[NAME]]," Tribal Community CDP, Washington","")," CDP, Washington","")," city, Washington","")," town, Washington","")," village, Washington","")</f>
        <v>Lake Holm</v>
      </c>
      <c r="C290" t="s">
        <v>1554</v>
      </c>
      <c r="D290" t="s">
        <v>573</v>
      </c>
    </row>
    <row r="291" spans="1:4">
      <c r="A291" t="s">
        <v>576</v>
      </c>
      <c r="B291" t="str">
        <f>SUBSTITUTE(SUBSTITUTE(SUBSTITUTE(SUBSTITUTE(SUBSTITUTE(WA_CDPs[[#This Row],[NAME]]," Tribal Community CDP, Washington","")," CDP, Washington","")," city, Washington","")," town, Washington","")," village, Washington","")</f>
        <v>Lake Ketchum</v>
      </c>
      <c r="C291" t="s">
        <v>1555</v>
      </c>
      <c r="D291" t="s">
        <v>575</v>
      </c>
    </row>
    <row r="292" spans="1:4">
      <c r="A292" t="s">
        <v>578</v>
      </c>
      <c r="B292" t="str">
        <f>SUBSTITUTE(SUBSTITUTE(SUBSTITUTE(SUBSTITUTE(SUBSTITUTE(WA_CDPs[[#This Row],[NAME]]," Tribal Community CDP, Washington","")," CDP, Washington","")," city, Washington","")," town, Washington","")," village, Washington","")</f>
        <v>Lakeland North</v>
      </c>
      <c r="C292" t="s">
        <v>1556</v>
      </c>
      <c r="D292" t="s">
        <v>577</v>
      </c>
    </row>
    <row r="293" spans="1:4">
      <c r="A293" t="s">
        <v>580</v>
      </c>
      <c r="B293" t="str">
        <f>SUBSTITUTE(SUBSTITUTE(SUBSTITUTE(SUBSTITUTE(SUBSTITUTE(WA_CDPs[[#This Row],[NAME]]," Tribal Community CDP, Washington","")," CDP, Washington","")," city, Washington","")," town, Washington","")," village, Washington","")</f>
        <v>Lakeland South</v>
      </c>
      <c r="C293" t="s">
        <v>1557</v>
      </c>
      <c r="D293" t="s">
        <v>579</v>
      </c>
    </row>
    <row r="294" spans="1:4">
      <c r="A294" t="s">
        <v>582</v>
      </c>
      <c r="B294" t="str">
        <f>SUBSTITUTE(SUBSTITUTE(SUBSTITUTE(SUBSTITUTE(SUBSTITUTE(WA_CDPs[[#This Row],[NAME]]," Tribal Community CDP, Washington","")," CDP, Washington","")," city, Washington","")," town, Washington","")," village, Washington","")</f>
        <v>Lake McMurray</v>
      </c>
      <c r="C294" t="s">
        <v>1558</v>
      </c>
      <c r="D294" t="s">
        <v>581</v>
      </c>
    </row>
    <row r="295" spans="1:4">
      <c r="A295" t="s">
        <v>584</v>
      </c>
      <c r="B295" t="str">
        <f>SUBSTITUTE(SUBSTITUTE(SUBSTITUTE(SUBSTITUTE(SUBSTITUTE(WA_CDPs[[#This Row],[NAME]]," Tribal Community CDP, Washington","")," CDP, Washington","")," city, Washington","")," town, Washington","")," village, Washington","")</f>
        <v>Lake Marcel-Stillwater</v>
      </c>
      <c r="C295" t="s">
        <v>1559</v>
      </c>
      <c r="D295" t="s">
        <v>583</v>
      </c>
    </row>
    <row r="296" spans="1:4">
      <c r="A296" t="s">
        <v>586</v>
      </c>
      <c r="B296" t="str">
        <f>SUBSTITUTE(SUBSTITUTE(SUBSTITUTE(SUBSTITUTE(SUBSTITUTE(WA_CDPs[[#This Row],[NAME]]," Tribal Community CDP, Washington","")," CDP, Washington","")," city, Washington","")," town, Washington","")," village, Washington","")</f>
        <v>Lake Morton-Berrydale</v>
      </c>
      <c r="C296" t="s">
        <v>1560</v>
      </c>
      <c r="D296" t="s">
        <v>585</v>
      </c>
    </row>
    <row r="297" spans="1:4">
      <c r="A297" t="s">
        <v>588</v>
      </c>
      <c r="B297" t="str">
        <f>SUBSTITUTE(SUBSTITUTE(SUBSTITUTE(SUBSTITUTE(SUBSTITUTE(WA_CDPs[[#This Row],[NAME]]," Tribal Community CDP, Washington","")," CDP, Washington","")," city, Washington","")," town, Washington","")," village, Washington","")</f>
        <v>Lake Roesiger</v>
      </c>
      <c r="C297" t="s">
        <v>1561</v>
      </c>
      <c r="D297" t="s">
        <v>587</v>
      </c>
    </row>
    <row r="298" spans="1:4">
      <c r="A298" t="s">
        <v>590</v>
      </c>
      <c r="B298" t="str">
        <f>SUBSTITUTE(SUBSTITUTE(SUBSTITUTE(SUBSTITUTE(SUBSTITUTE(WA_CDPs[[#This Row],[NAME]]," Tribal Community CDP, Washington","")," CDP, Washington","")," city, Washington","")," town, Washington","")," village, Washington","")</f>
        <v>Lake Shore</v>
      </c>
      <c r="C298" t="s">
        <v>1562</v>
      </c>
      <c r="D298" t="s">
        <v>589</v>
      </c>
    </row>
    <row r="299" spans="1:4">
      <c r="A299" t="s">
        <v>592</v>
      </c>
      <c r="B299" t="str">
        <f>SUBSTITUTE(SUBSTITUTE(SUBSTITUTE(SUBSTITUTE(SUBSTITUTE(WA_CDPs[[#This Row],[NAME]]," Tribal Community CDP, Washington","")," CDP, Washington","")," city, Washington","")," town, Washington","")," village, Washington","")</f>
        <v>Lake Stevens</v>
      </c>
      <c r="C299" t="s">
        <v>1563</v>
      </c>
      <c r="D299" t="s">
        <v>591</v>
      </c>
    </row>
    <row r="300" spans="1:4">
      <c r="A300" t="s">
        <v>594</v>
      </c>
      <c r="B300" t="str">
        <f>SUBSTITUTE(SUBSTITUTE(SUBSTITUTE(SUBSTITUTE(SUBSTITUTE(WA_CDPs[[#This Row],[NAME]]," Tribal Community CDP, Washington","")," CDP, Washington","")," city, Washington","")," town, Washington","")," village, Washington","")</f>
        <v>Lake Stickney</v>
      </c>
      <c r="C300" t="s">
        <v>1564</v>
      </c>
      <c r="D300" t="s">
        <v>593</v>
      </c>
    </row>
    <row r="301" spans="1:4">
      <c r="A301" t="s">
        <v>596</v>
      </c>
      <c r="B301" t="str">
        <f>SUBSTITUTE(SUBSTITUTE(SUBSTITUTE(SUBSTITUTE(SUBSTITUTE(WA_CDPs[[#This Row],[NAME]]," Tribal Community CDP, Washington","")," CDP, Washington","")," city, Washington","")," town, Washington","")," village, Washington","")</f>
        <v>Lake Tapps</v>
      </c>
      <c r="C301" t="s">
        <v>1565</v>
      </c>
      <c r="D301" t="s">
        <v>595</v>
      </c>
    </row>
    <row r="302" spans="1:4">
      <c r="A302" t="s">
        <v>598</v>
      </c>
      <c r="B302" t="str">
        <f>SUBSTITUTE(SUBSTITUTE(SUBSTITUTE(SUBSTITUTE(SUBSTITUTE(WA_CDPs[[#This Row],[NAME]]," Tribal Community CDP, Washington","")," CDP, Washington","")," city, Washington","")," town, Washington","")," village, Washington","")</f>
        <v>Lakeview</v>
      </c>
      <c r="C302" t="s">
        <v>1566</v>
      </c>
      <c r="D302" t="s">
        <v>597</v>
      </c>
    </row>
    <row r="303" spans="1:4">
      <c r="A303" t="s">
        <v>600</v>
      </c>
      <c r="B303" t="str">
        <f>SUBSTITUTE(SUBSTITUTE(SUBSTITUTE(SUBSTITUTE(SUBSTITUTE(WA_CDPs[[#This Row],[NAME]]," Tribal Community CDP, Washington","")," CDP, Washington","")," city, Washington","")," town, Washington","")," village, Washington","")</f>
        <v>Lakewood</v>
      </c>
      <c r="C303" t="s">
        <v>1567</v>
      </c>
      <c r="D303" t="s">
        <v>599</v>
      </c>
    </row>
    <row r="304" spans="1:4">
      <c r="A304" t="s">
        <v>602</v>
      </c>
      <c r="B304" t="str">
        <f>SUBSTITUTE(SUBSTITUTE(SUBSTITUTE(SUBSTITUTE(SUBSTITUTE(WA_CDPs[[#This Row],[NAME]]," Tribal Community CDP, Washington","")," CDP, Washington","")," city, Washington","")," town, Washington","")," village, Washington","")</f>
        <v>Lamont</v>
      </c>
      <c r="C304" t="s">
        <v>1568</v>
      </c>
      <c r="D304" t="s">
        <v>601</v>
      </c>
    </row>
    <row r="305" spans="1:4">
      <c r="A305" t="s">
        <v>604</v>
      </c>
      <c r="B305" t="str">
        <f>SUBSTITUTE(SUBSTITUTE(SUBSTITUTE(SUBSTITUTE(SUBSTITUTE(WA_CDPs[[#This Row],[NAME]]," Tribal Community CDP, Washington","")," CDP, Washington","")," city, Washington","")," town, Washington","")," village, Washington","")</f>
        <v>Langley</v>
      </c>
      <c r="C305" t="s">
        <v>1569</v>
      </c>
      <c r="D305" t="s">
        <v>603</v>
      </c>
    </row>
    <row r="306" spans="1:4">
      <c r="A306" t="s">
        <v>606</v>
      </c>
      <c r="B306" t="str">
        <f>SUBSTITUTE(SUBSTITUTE(SUBSTITUTE(SUBSTITUTE(SUBSTITUTE(WA_CDPs[[#This Row],[NAME]]," Tribal Community CDP, Washington","")," CDP, Washington","")," city, Washington","")," town, Washington","")," village, Washington","")</f>
        <v>Larch Way</v>
      </c>
      <c r="C306" t="s">
        <v>1570</v>
      </c>
      <c r="D306" t="s">
        <v>605</v>
      </c>
    </row>
    <row r="307" spans="1:4">
      <c r="A307" t="s">
        <v>608</v>
      </c>
      <c r="B307" t="str">
        <f>SUBSTITUTE(SUBSTITUTE(SUBSTITUTE(SUBSTITUTE(SUBSTITUTE(WA_CDPs[[#This Row],[NAME]]," Tribal Community CDP, Washington","")," CDP, Washington","")," city, Washington","")," town, Washington","")," village, Washington","")</f>
        <v>Latah</v>
      </c>
      <c r="C307" t="s">
        <v>1571</v>
      </c>
      <c r="D307" t="s">
        <v>607</v>
      </c>
    </row>
    <row r="308" spans="1:4">
      <c r="A308" t="s">
        <v>610</v>
      </c>
      <c r="B308" t="str">
        <f>SUBSTITUTE(SUBSTITUTE(SUBSTITUTE(SUBSTITUTE(SUBSTITUTE(WA_CDPs[[#This Row],[NAME]]," Tribal Community CDP, Washington","")," CDP, Washington","")," city, Washington","")," town, Washington","")," village, Washington","")</f>
        <v>Laurier</v>
      </c>
      <c r="C308" t="s">
        <v>1572</v>
      </c>
      <c r="D308" t="s">
        <v>609</v>
      </c>
    </row>
    <row r="309" spans="1:4">
      <c r="A309" t="s">
        <v>612</v>
      </c>
      <c r="B309" t="str">
        <f>SUBSTITUTE(SUBSTITUTE(SUBSTITUTE(SUBSTITUTE(SUBSTITUTE(WA_CDPs[[#This Row],[NAME]]," Tribal Community CDP, Washington","")," CDP, Washington","")," city, Washington","")," town, Washington","")," village, Washington","")</f>
        <v>Leavenworth</v>
      </c>
      <c r="C309" t="s">
        <v>1573</v>
      </c>
      <c r="D309" t="s">
        <v>611</v>
      </c>
    </row>
    <row r="310" spans="1:4">
      <c r="A310" t="s">
        <v>614</v>
      </c>
      <c r="B310" t="str">
        <f>SUBSTITUTE(SUBSTITUTE(SUBSTITUTE(SUBSTITUTE(SUBSTITUTE(WA_CDPs[[#This Row],[NAME]]," Tribal Community CDP, Washington","")," CDP, Washington","")," city, Washington","")," town, Washington","")," village, Washington","")</f>
        <v>Lebam</v>
      </c>
      <c r="C310" t="s">
        <v>1574</v>
      </c>
      <c r="D310" t="s">
        <v>613</v>
      </c>
    </row>
    <row r="311" spans="1:4">
      <c r="A311" t="s">
        <v>616</v>
      </c>
      <c r="B311" t="str">
        <f>SUBSTITUTE(SUBSTITUTE(SUBSTITUTE(SUBSTITUTE(SUBSTITUTE(WA_CDPs[[#This Row],[NAME]]," Tribal Community CDP, Washington","")," CDP, Washington","")," city, Washington","")," town, Washington","")," village, Washington","")</f>
        <v>Lewisville</v>
      </c>
      <c r="C311" t="s">
        <v>1575</v>
      </c>
      <c r="D311" t="s">
        <v>615</v>
      </c>
    </row>
    <row r="312" spans="1:4">
      <c r="A312" t="s">
        <v>2446</v>
      </c>
      <c r="B312" t="str">
        <f>SUBSTITUTE(SUBSTITUTE(SUBSTITUTE(SUBSTITUTE(SUBSTITUTE(WA_CDPs[[#This Row],[NAME]]," Tribal Community CDP, Washington","")," CDP, Washington","")," city, Washington","")," town, Washington","")," village, Washington","")</f>
        <v>Lexington</v>
      </c>
      <c r="C312" t="s">
        <v>2445</v>
      </c>
      <c r="D312" t="e">
        <v>#N/A</v>
      </c>
    </row>
    <row r="313" spans="1:4">
      <c r="A313" t="s">
        <v>618</v>
      </c>
      <c r="B313" t="str">
        <f>SUBSTITUTE(SUBSTITUTE(SUBSTITUTE(SUBSTITUTE(SUBSTITUTE(WA_CDPs[[#This Row],[NAME]]," Tribal Community CDP, Washington","")," CDP, Washington","")," city, Washington","")," town, Washington","")," village, Washington","")</f>
        <v>Liberty Lake</v>
      </c>
      <c r="C313" t="s">
        <v>1576</v>
      </c>
      <c r="D313" t="s">
        <v>617</v>
      </c>
    </row>
    <row r="314" spans="1:4">
      <c r="A314" t="s">
        <v>620</v>
      </c>
      <c r="B314" t="str">
        <f>SUBSTITUTE(SUBSTITUTE(SUBSTITUTE(SUBSTITUTE(SUBSTITUTE(WA_CDPs[[#This Row],[NAME]]," Tribal Community CDP, Washington","")," CDP, Washington","")," city, Washington","")," town, Washington","")," village, Washington","")</f>
        <v>Lind</v>
      </c>
      <c r="C314" t="s">
        <v>1577</v>
      </c>
      <c r="D314" t="s">
        <v>619</v>
      </c>
    </row>
    <row r="315" spans="1:4">
      <c r="A315" t="s">
        <v>622</v>
      </c>
      <c r="B315" t="str">
        <f>SUBSTITUTE(SUBSTITUTE(SUBSTITUTE(SUBSTITUTE(SUBSTITUTE(WA_CDPs[[#This Row],[NAME]]," Tribal Community CDP, Washington","")," CDP, Washington","")," city, Washington","")," town, Washington","")," village, Washington","")</f>
        <v>Lochsloy</v>
      </c>
      <c r="C315" t="s">
        <v>1578</v>
      </c>
      <c r="D315" t="s">
        <v>621</v>
      </c>
    </row>
    <row r="316" spans="1:4">
      <c r="A316" t="s">
        <v>624</v>
      </c>
      <c r="B316" t="str">
        <f>SUBSTITUTE(SUBSTITUTE(SUBSTITUTE(SUBSTITUTE(SUBSTITUTE(WA_CDPs[[#This Row],[NAME]]," Tribal Community CDP, Washington","")," CDP, Washington","")," city, Washington","")," town, Washington","")," village, Washington","")</f>
        <v>Lofall</v>
      </c>
      <c r="C316" t="s">
        <v>1579</v>
      </c>
      <c r="D316" t="s">
        <v>623</v>
      </c>
    </row>
    <row r="317" spans="1:4">
      <c r="A317" t="s">
        <v>626</v>
      </c>
      <c r="B317" t="str">
        <f>SUBSTITUTE(SUBSTITUTE(SUBSTITUTE(SUBSTITUTE(SUBSTITUTE(WA_CDPs[[#This Row],[NAME]]," Tribal Community CDP, Washington","")," CDP, Washington","")," city, Washington","")," town, Washington","")," village, Washington","")</f>
        <v>Long Beach</v>
      </c>
      <c r="C317" t="s">
        <v>1580</v>
      </c>
      <c r="D317" t="s">
        <v>625</v>
      </c>
    </row>
    <row r="318" spans="1:4">
      <c r="A318" t="s">
        <v>628</v>
      </c>
      <c r="B318" t="str">
        <f>SUBSTITUTE(SUBSTITUTE(SUBSTITUTE(SUBSTITUTE(SUBSTITUTE(WA_CDPs[[#This Row],[NAME]]," Tribal Community CDP, Washington","")," CDP, Washington","")," city, Washington","")," town, Washington","")," village, Washington","")</f>
        <v>Longbranch</v>
      </c>
      <c r="C318" t="s">
        <v>1581</v>
      </c>
      <c r="D318" t="s">
        <v>627</v>
      </c>
    </row>
    <row r="319" spans="1:4">
      <c r="A319" t="s">
        <v>630</v>
      </c>
      <c r="B319" t="str">
        <f>SUBSTITUTE(SUBSTITUTE(SUBSTITUTE(SUBSTITUTE(SUBSTITUTE(WA_CDPs[[#This Row],[NAME]]," Tribal Community CDP, Washington","")," CDP, Washington","")," city, Washington","")," town, Washington","")," village, Washington","")</f>
        <v>Longview</v>
      </c>
      <c r="C319" t="s">
        <v>1582</v>
      </c>
      <c r="D319" t="s">
        <v>629</v>
      </c>
    </row>
    <row r="320" spans="1:4">
      <c r="A320" t="s">
        <v>632</v>
      </c>
      <c r="B320" t="str">
        <f>SUBSTITUTE(SUBSTITUTE(SUBSTITUTE(SUBSTITUTE(SUBSTITUTE(WA_CDPs[[#This Row],[NAME]]," Tribal Community CDP, Washington","")," CDP, Washington","")," city, Washington","")," town, Washington","")," village, Washington","")</f>
        <v>Longview Heights</v>
      </c>
      <c r="C320" t="s">
        <v>1583</v>
      </c>
      <c r="D320" t="s">
        <v>631</v>
      </c>
    </row>
    <row r="321" spans="1:4">
      <c r="A321" t="s">
        <v>634</v>
      </c>
      <c r="B321" t="str">
        <f>SUBSTITUTE(SUBSTITUTE(SUBSTITUTE(SUBSTITUTE(SUBSTITUTE(WA_CDPs[[#This Row],[NAME]]," Tribal Community CDP, Washington","")," CDP, Washington","")," city, Washington","")," town, Washington","")," village, Washington","")</f>
        <v>Loomis</v>
      </c>
      <c r="C321" t="s">
        <v>1584</v>
      </c>
      <c r="D321" t="s">
        <v>633</v>
      </c>
    </row>
    <row r="322" spans="1:4">
      <c r="A322" t="s">
        <v>636</v>
      </c>
      <c r="B322" t="str">
        <f>SUBSTITUTE(SUBSTITUTE(SUBSTITUTE(SUBSTITUTE(SUBSTITUTE(WA_CDPs[[#This Row],[NAME]]," Tribal Community CDP, Washington","")," CDP, Washington","")," city, Washington","")," town, Washington","")," village, Washington","")</f>
        <v>Loon Lake</v>
      </c>
      <c r="C322" t="s">
        <v>1585</v>
      </c>
      <c r="D322" t="s">
        <v>635</v>
      </c>
    </row>
    <row r="323" spans="1:4">
      <c r="A323" t="s">
        <v>638</v>
      </c>
      <c r="B323" t="str">
        <f>SUBSTITUTE(SUBSTITUTE(SUBSTITUTE(SUBSTITUTE(SUBSTITUTE(WA_CDPs[[#This Row],[NAME]]," Tribal Community CDP, Washington","")," CDP, Washington","")," city, Washington","")," town, Washington","")," village, Washington","")</f>
        <v>Lower Elochoman</v>
      </c>
      <c r="C323" t="s">
        <v>1586</v>
      </c>
      <c r="D323" t="s">
        <v>637</v>
      </c>
    </row>
    <row r="324" spans="1:4">
      <c r="A324" t="s">
        <v>640</v>
      </c>
      <c r="B324" t="str">
        <f>SUBSTITUTE(SUBSTITUTE(SUBSTITUTE(SUBSTITUTE(SUBSTITUTE(WA_CDPs[[#This Row],[NAME]]," Tribal Community CDP, Washington","")," CDP, Washington","")," city, Washington","")," town, Washington","")," village, Washington","")</f>
        <v>Lyle</v>
      </c>
      <c r="C324" t="s">
        <v>1587</v>
      </c>
      <c r="D324" t="s">
        <v>639</v>
      </c>
    </row>
    <row r="325" spans="1:4">
      <c r="A325" t="s">
        <v>642</v>
      </c>
      <c r="B325" t="str">
        <f>SUBSTITUTE(SUBSTITUTE(SUBSTITUTE(SUBSTITUTE(SUBSTITUTE(WA_CDPs[[#This Row],[NAME]]," Tribal Community CDP, Washington","")," CDP, Washington","")," city, Washington","")," town, Washington","")," village, Washington","")</f>
        <v>Lyman</v>
      </c>
      <c r="C325" t="s">
        <v>1588</v>
      </c>
      <c r="D325" t="s">
        <v>641</v>
      </c>
    </row>
    <row r="326" spans="1:4">
      <c r="A326" t="s">
        <v>644</v>
      </c>
      <c r="B326" t="str">
        <f>SUBSTITUTE(SUBSTITUTE(SUBSTITUTE(SUBSTITUTE(SUBSTITUTE(WA_CDPs[[#This Row],[NAME]]," Tribal Community CDP, Washington","")," CDP, Washington","")," city, Washington","")," town, Washington","")," village, Washington","")</f>
        <v>Lynden</v>
      </c>
      <c r="C326" t="s">
        <v>1589</v>
      </c>
      <c r="D326" t="s">
        <v>643</v>
      </c>
    </row>
    <row r="327" spans="1:4">
      <c r="A327" t="s">
        <v>646</v>
      </c>
      <c r="B327" t="str">
        <f>SUBSTITUTE(SUBSTITUTE(SUBSTITUTE(SUBSTITUTE(SUBSTITUTE(WA_CDPs[[#This Row],[NAME]]," Tribal Community CDP, Washington","")," CDP, Washington","")," city, Washington","")," town, Washington","")," village, Washington","")</f>
        <v>Lynnwood</v>
      </c>
      <c r="C327" t="s">
        <v>1590</v>
      </c>
      <c r="D327" t="s">
        <v>645</v>
      </c>
    </row>
    <row r="328" spans="1:4">
      <c r="A328" t="s">
        <v>648</v>
      </c>
      <c r="B328" t="str">
        <f>SUBSTITUTE(SUBSTITUTE(SUBSTITUTE(SUBSTITUTE(SUBSTITUTE(WA_CDPs[[#This Row],[NAME]]," Tribal Community CDP, Washington","")," CDP, Washington","")," city, Washington","")," town, Washington","")," village, Washington","")</f>
        <v>Mabton</v>
      </c>
      <c r="C328" t="s">
        <v>1591</v>
      </c>
      <c r="D328" t="s">
        <v>647</v>
      </c>
    </row>
    <row r="329" spans="1:4">
      <c r="A329" t="s">
        <v>650</v>
      </c>
      <c r="B329" t="str">
        <f>SUBSTITUTE(SUBSTITUTE(SUBSTITUTE(SUBSTITUTE(SUBSTITUTE(WA_CDPs[[#This Row],[NAME]]," Tribal Community CDP, Washington","")," CDP, Washington","")," city, Washington","")," town, Washington","")," village, Washington","")</f>
        <v>McChord AFB</v>
      </c>
      <c r="C329" t="s">
        <v>1592</v>
      </c>
      <c r="D329" t="s">
        <v>649</v>
      </c>
    </row>
    <row r="330" spans="1:4">
      <c r="A330" t="s">
        <v>652</v>
      </c>
      <c r="B330" t="str">
        <f>SUBSTITUTE(SUBSTITUTE(SUBSTITUTE(SUBSTITUTE(SUBSTITUTE(WA_CDPs[[#This Row],[NAME]]," Tribal Community CDP, Washington","")," CDP, Washington","")," city, Washington","")," town, Washington","")," village, Washington","")</f>
        <v>McCleary</v>
      </c>
      <c r="C330" t="s">
        <v>1593</v>
      </c>
      <c r="D330" t="s">
        <v>651</v>
      </c>
    </row>
    <row r="331" spans="1:4">
      <c r="A331" t="s">
        <v>654</v>
      </c>
      <c r="B331" t="str">
        <f>SUBSTITUTE(SUBSTITUTE(SUBSTITUTE(SUBSTITUTE(SUBSTITUTE(WA_CDPs[[#This Row],[NAME]]," Tribal Community CDP, Washington","")," CDP, Washington","")," city, Washington","")," town, Washington","")," village, Washington","")</f>
        <v>Machias</v>
      </c>
      <c r="C331" t="s">
        <v>1594</v>
      </c>
      <c r="D331" t="s">
        <v>653</v>
      </c>
    </row>
    <row r="332" spans="1:4">
      <c r="A332" t="s">
        <v>656</v>
      </c>
      <c r="B332" t="str">
        <f>SUBSTITUTE(SUBSTITUTE(SUBSTITUTE(SUBSTITUTE(SUBSTITUTE(WA_CDPs[[#This Row],[NAME]]," Tribal Community CDP, Washington","")," CDP, Washington","")," city, Washington","")," town, Washington","")," village, Washington","")</f>
        <v>McKenna</v>
      </c>
      <c r="C332" t="s">
        <v>1595</v>
      </c>
      <c r="D332" t="s">
        <v>655</v>
      </c>
    </row>
    <row r="333" spans="1:4">
      <c r="A333" t="s">
        <v>658</v>
      </c>
      <c r="B333" t="str">
        <f>SUBSTITUTE(SUBSTITUTE(SUBSTITUTE(SUBSTITUTE(SUBSTITUTE(WA_CDPs[[#This Row],[NAME]]," Tribal Community CDP, Washington","")," CDP, Washington","")," city, Washington","")," town, Washington","")," village, Washington","")</f>
        <v>McMillin</v>
      </c>
      <c r="C333" t="s">
        <v>1596</v>
      </c>
      <c r="D333" t="s">
        <v>657</v>
      </c>
    </row>
    <row r="334" spans="1:4">
      <c r="A334" t="s">
        <v>660</v>
      </c>
      <c r="B334" t="str">
        <f>SUBSTITUTE(SUBSTITUTE(SUBSTITUTE(SUBSTITUTE(SUBSTITUTE(WA_CDPs[[#This Row],[NAME]]," Tribal Community CDP, Washington","")," CDP, Washington","")," city, Washington","")," town, Washington","")," village, Washington","")</f>
        <v>Malden</v>
      </c>
      <c r="C334" t="s">
        <v>1597</v>
      </c>
      <c r="D334" t="s">
        <v>659</v>
      </c>
    </row>
    <row r="335" spans="1:4">
      <c r="A335" t="s">
        <v>662</v>
      </c>
      <c r="B335" t="str">
        <f>SUBSTITUTE(SUBSTITUTE(SUBSTITUTE(SUBSTITUTE(SUBSTITUTE(WA_CDPs[[#This Row],[NAME]]," Tribal Community CDP, Washington","")," CDP, Washington","")," city, Washington","")," town, Washington","")," village, Washington","")</f>
        <v>Malo</v>
      </c>
      <c r="C335" t="s">
        <v>1598</v>
      </c>
      <c r="D335" t="s">
        <v>661</v>
      </c>
    </row>
    <row r="336" spans="1:4">
      <c r="A336" t="s">
        <v>664</v>
      </c>
      <c r="B336" t="str">
        <f>SUBSTITUTE(SUBSTITUTE(SUBSTITUTE(SUBSTITUTE(SUBSTITUTE(WA_CDPs[[#This Row],[NAME]]," Tribal Community CDP, Washington","")," CDP, Washington","")," city, Washington","")," town, Washington","")," village, Washington","")</f>
        <v>Malone</v>
      </c>
      <c r="C336" t="s">
        <v>1599</v>
      </c>
      <c r="D336" t="s">
        <v>663</v>
      </c>
    </row>
    <row r="337" spans="1:4">
      <c r="A337" t="s">
        <v>666</v>
      </c>
      <c r="B337" t="str">
        <f>SUBSTITUTE(SUBSTITUTE(SUBSTITUTE(SUBSTITUTE(SUBSTITUTE(WA_CDPs[[#This Row],[NAME]]," Tribal Community CDP, Washington","")," CDP, Washington","")," city, Washington","")," town, Washington","")," village, Washington","")</f>
        <v>Malott</v>
      </c>
      <c r="C337" t="s">
        <v>1600</v>
      </c>
      <c r="D337" t="s">
        <v>665</v>
      </c>
    </row>
    <row r="338" spans="1:4">
      <c r="A338" t="s">
        <v>668</v>
      </c>
      <c r="B338" t="str">
        <f>SUBSTITUTE(SUBSTITUTE(SUBSTITUTE(SUBSTITUTE(SUBSTITUTE(WA_CDPs[[#This Row],[NAME]]," Tribal Community CDP, Washington","")," CDP, Washington","")," city, Washington","")," town, Washington","")," village, Washington","")</f>
        <v>Maltby</v>
      </c>
      <c r="C338" t="s">
        <v>1601</v>
      </c>
      <c r="D338" t="s">
        <v>667</v>
      </c>
    </row>
    <row r="339" spans="1:4">
      <c r="A339" t="s">
        <v>670</v>
      </c>
      <c r="B339" t="str">
        <f>SUBSTITUTE(SUBSTITUTE(SUBSTITUTE(SUBSTITUTE(SUBSTITUTE(WA_CDPs[[#This Row],[NAME]]," Tribal Community CDP, Washington","")," CDP, Washington","")," city, Washington","")," town, Washington","")," village, Washington","")</f>
        <v>Manchester</v>
      </c>
      <c r="C339" t="s">
        <v>1602</v>
      </c>
      <c r="D339" t="s">
        <v>669</v>
      </c>
    </row>
    <row r="340" spans="1:4">
      <c r="A340" t="s">
        <v>672</v>
      </c>
      <c r="B340" t="str">
        <f>SUBSTITUTE(SUBSTITUTE(SUBSTITUTE(SUBSTITUTE(SUBSTITUTE(WA_CDPs[[#This Row],[NAME]]," Tribal Community CDP, Washington","")," CDP, Washington","")," city, Washington","")," town, Washington","")," village, Washington","")</f>
        <v>Mansfield</v>
      </c>
      <c r="C340" t="s">
        <v>1603</v>
      </c>
      <c r="D340" t="s">
        <v>671</v>
      </c>
    </row>
    <row r="341" spans="1:4">
      <c r="A341" t="s">
        <v>674</v>
      </c>
      <c r="B341" t="str">
        <f>SUBSTITUTE(SUBSTITUTE(SUBSTITUTE(SUBSTITUTE(SUBSTITUTE(WA_CDPs[[#This Row],[NAME]]," Tribal Community CDP, Washington","")," CDP, Washington","")," city, Washington","")," town, Washington","")," village, Washington","")</f>
        <v>Manson</v>
      </c>
      <c r="C341" t="s">
        <v>1604</v>
      </c>
      <c r="D341" t="s">
        <v>673</v>
      </c>
    </row>
    <row r="342" spans="1:4">
      <c r="A342" t="s">
        <v>676</v>
      </c>
      <c r="B342" t="str">
        <f>SUBSTITUTE(SUBSTITUTE(SUBSTITUTE(SUBSTITUTE(SUBSTITUTE(WA_CDPs[[#This Row],[NAME]]," Tribal Community CDP, Washington","")," CDP, Washington","")," city, Washington","")," town, Washington","")," village, Washington","")</f>
        <v>Maple Falls</v>
      </c>
      <c r="C342" t="s">
        <v>1605</v>
      </c>
      <c r="D342" t="s">
        <v>675</v>
      </c>
    </row>
    <row r="343" spans="1:4">
      <c r="A343" t="s">
        <v>678</v>
      </c>
      <c r="B343" t="str">
        <f>SUBSTITUTE(SUBSTITUTE(SUBSTITUTE(SUBSTITUTE(SUBSTITUTE(WA_CDPs[[#This Row],[NAME]]," Tribal Community CDP, Washington","")," CDP, Washington","")," city, Washington","")," town, Washington","")," village, Washington","")</f>
        <v>Maple Heights-Lake Desire</v>
      </c>
      <c r="C343" t="s">
        <v>1606</v>
      </c>
      <c r="D343" t="s">
        <v>677</v>
      </c>
    </row>
    <row r="344" spans="1:4">
      <c r="A344" t="s">
        <v>680</v>
      </c>
      <c r="B344" t="str">
        <f>SUBSTITUTE(SUBSTITUTE(SUBSTITUTE(SUBSTITUTE(SUBSTITUTE(WA_CDPs[[#This Row],[NAME]]," Tribal Community CDP, Washington","")," CDP, Washington","")," city, Washington","")," town, Washington","")," village, Washington","")</f>
        <v>Maple Valley</v>
      </c>
      <c r="C344" t="s">
        <v>1607</v>
      </c>
      <c r="D344" t="s">
        <v>679</v>
      </c>
    </row>
    <row r="345" spans="1:4">
      <c r="A345" t="s">
        <v>682</v>
      </c>
      <c r="B345" t="str">
        <f>SUBSTITUTE(SUBSTITUTE(SUBSTITUTE(SUBSTITUTE(SUBSTITUTE(WA_CDPs[[#This Row],[NAME]]," Tribal Community CDP, Washington","")," CDP, Washington","")," city, Washington","")," town, Washington","")," village, Washington","")</f>
        <v>Maplewood</v>
      </c>
      <c r="C345" t="s">
        <v>1608</v>
      </c>
      <c r="D345" t="s">
        <v>681</v>
      </c>
    </row>
    <row r="346" spans="1:4">
      <c r="A346" t="s">
        <v>684</v>
      </c>
      <c r="B346" t="str">
        <f>SUBSTITUTE(SUBSTITUTE(SUBSTITUTE(SUBSTITUTE(SUBSTITUTE(WA_CDPs[[#This Row],[NAME]]," Tribal Community CDP, Washington","")," CDP, Washington","")," city, Washington","")," town, Washington","")," village, Washington","")</f>
        <v>Marblemount</v>
      </c>
      <c r="C346" t="s">
        <v>1609</v>
      </c>
      <c r="D346" t="s">
        <v>683</v>
      </c>
    </row>
    <row r="347" spans="1:4">
      <c r="A347" t="s">
        <v>686</v>
      </c>
      <c r="B347" t="str">
        <f>SUBSTITUTE(SUBSTITUTE(SUBSTITUTE(SUBSTITUTE(SUBSTITUTE(WA_CDPs[[#This Row],[NAME]]," Tribal Community CDP, Washington","")," CDP, Washington","")," city, Washington","")," town, Washington","")," village, Washington","")</f>
        <v>Marcus</v>
      </c>
      <c r="C347" t="s">
        <v>1610</v>
      </c>
      <c r="D347" t="s">
        <v>685</v>
      </c>
    </row>
    <row r="348" spans="1:4">
      <c r="A348" t="s">
        <v>688</v>
      </c>
      <c r="B348" t="str">
        <f>SUBSTITUTE(SUBSTITUTE(SUBSTITUTE(SUBSTITUTE(SUBSTITUTE(WA_CDPs[[#This Row],[NAME]]," Tribal Community CDP, Washington","")," CDP, Washington","")," city, Washington","")," town, Washington","")," village, Washington","")</f>
        <v>Marietta-Alderwood</v>
      </c>
      <c r="C348" t="s">
        <v>1611</v>
      </c>
      <c r="D348" t="s">
        <v>687</v>
      </c>
    </row>
    <row r="349" spans="1:4">
      <c r="A349" t="s">
        <v>2448</v>
      </c>
      <c r="B349" t="str">
        <f>SUBSTITUTE(SUBSTITUTE(SUBSTITUTE(SUBSTITUTE(SUBSTITUTE(WA_CDPs[[#This Row],[NAME]]," Tribal Community CDP, Washington","")," CDP, Washington","")," city, Washington","")," town, Washington","")," village, Washington","")</f>
        <v>Marine View</v>
      </c>
      <c r="C349" t="s">
        <v>2447</v>
      </c>
      <c r="D349" t="e">
        <v>#N/A</v>
      </c>
    </row>
    <row r="350" spans="1:4">
      <c r="A350" t="s">
        <v>690</v>
      </c>
      <c r="B350" t="str">
        <f>SUBSTITUTE(SUBSTITUTE(SUBSTITUTE(SUBSTITUTE(SUBSTITUTE(WA_CDPs[[#This Row],[NAME]]," Tribal Community CDP, Washington","")," CDP, Washington","")," city, Washington","")," town, Washington","")," village, Washington","")</f>
        <v>Markham</v>
      </c>
      <c r="C350" t="s">
        <v>1612</v>
      </c>
      <c r="D350" t="s">
        <v>689</v>
      </c>
    </row>
    <row r="351" spans="1:4">
      <c r="A351" t="s">
        <v>692</v>
      </c>
      <c r="B351" t="str">
        <f>SUBSTITUTE(SUBSTITUTE(SUBSTITUTE(SUBSTITUTE(SUBSTITUTE(WA_CDPs[[#This Row],[NAME]]," Tribal Community CDP, Washington","")," CDP, Washington","")," city, Washington","")," town, Washington","")," village, Washington","")</f>
        <v>Marrowstone</v>
      </c>
      <c r="C351" t="s">
        <v>1613</v>
      </c>
      <c r="D351" t="s">
        <v>691</v>
      </c>
    </row>
    <row r="352" spans="1:4">
      <c r="A352" t="s">
        <v>694</v>
      </c>
      <c r="B352" t="str">
        <f>SUBSTITUTE(SUBSTITUTE(SUBSTITUTE(SUBSTITUTE(SUBSTITUTE(WA_CDPs[[#This Row],[NAME]]," Tribal Community CDP, Washington","")," CDP, Washington","")," city, Washington","")," town, Washington","")," village, Washington","")</f>
        <v>Martha Lake</v>
      </c>
      <c r="C352" t="s">
        <v>1614</v>
      </c>
      <c r="D352" t="s">
        <v>693</v>
      </c>
    </row>
    <row r="353" spans="1:4">
      <c r="A353" t="s">
        <v>696</v>
      </c>
      <c r="B353" t="str">
        <f>SUBSTITUTE(SUBSTITUTE(SUBSTITUTE(SUBSTITUTE(SUBSTITUTE(WA_CDPs[[#This Row],[NAME]]," Tribal Community CDP, Washington","")," CDP, Washington","")," city, Washington","")," town, Washington","")," village, Washington","")</f>
        <v>Maryhill</v>
      </c>
      <c r="C353" t="s">
        <v>1615</v>
      </c>
      <c r="D353" t="s">
        <v>695</v>
      </c>
    </row>
    <row r="354" spans="1:4">
      <c r="A354" t="s">
        <v>698</v>
      </c>
      <c r="B354" t="str">
        <f>SUBSTITUTE(SUBSTITUTE(SUBSTITUTE(SUBSTITUTE(SUBSTITUTE(WA_CDPs[[#This Row],[NAME]]," Tribal Community CDP, Washington","")," CDP, Washington","")," city, Washington","")," town, Washington","")," village, Washington","")</f>
        <v>Marysville</v>
      </c>
      <c r="C354" t="s">
        <v>1616</v>
      </c>
      <c r="D354" t="s">
        <v>697</v>
      </c>
    </row>
    <row r="355" spans="1:4">
      <c r="A355" t="s">
        <v>700</v>
      </c>
      <c r="B355" t="str">
        <f>SUBSTITUTE(SUBSTITUTE(SUBSTITUTE(SUBSTITUTE(SUBSTITUTE(WA_CDPs[[#This Row],[NAME]]," Tribal Community CDP, Washington","")," CDP, Washington","")," city, Washington","")," town, Washington","")," village, Washington","")</f>
        <v>Mattawa</v>
      </c>
      <c r="C355" t="s">
        <v>1617</v>
      </c>
      <c r="D355" t="s">
        <v>699</v>
      </c>
    </row>
    <row r="356" spans="1:4">
      <c r="A356" t="s">
        <v>702</v>
      </c>
      <c r="B356" t="str">
        <f>SUBSTITUTE(SUBSTITUTE(SUBSTITUTE(SUBSTITUTE(SUBSTITUTE(WA_CDPs[[#This Row],[NAME]]," Tribal Community CDP, Washington","")," CDP, Washington","")," city, Washington","")," town, Washington","")," village, Washington","")</f>
        <v>May Creek</v>
      </c>
      <c r="C356" t="s">
        <v>1618</v>
      </c>
      <c r="D356" t="s">
        <v>701</v>
      </c>
    </row>
    <row r="357" spans="1:4">
      <c r="A357" t="s">
        <v>704</v>
      </c>
      <c r="B357" t="str">
        <f>SUBSTITUTE(SUBSTITUTE(SUBSTITUTE(SUBSTITUTE(SUBSTITUTE(WA_CDPs[[#This Row],[NAME]]," Tribal Community CDP, Washington","")," CDP, Washington","")," city, Washington","")," town, Washington","")," village, Washington","")</f>
        <v>Mead</v>
      </c>
      <c r="C357" t="s">
        <v>1619</v>
      </c>
      <c r="D357" t="s">
        <v>703</v>
      </c>
    </row>
    <row r="358" spans="1:4">
      <c r="A358" t="s">
        <v>706</v>
      </c>
      <c r="B358" t="str">
        <f>SUBSTITUTE(SUBSTITUTE(SUBSTITUTE(SUBSTITUTE(SUBSTITUTE(WA_CDPs[[#This Row],[NAME]]," Tribal Community CDP, Washington","")," CDP, Washington","")," city, Washington","")," town, Washington","")," village, Washington","")</f>
        <v>Meadowdale</v>
      </c>
      <c r="C358" t="s">
        <v>1620</v>
      </c>
      <c r="D358" t="s">
        <v>705</v>
      </c>
    </row>
    <row r="359" spans="1:4">
      <c r="A359" t="s">
        <v>708</v>
      </c>
      <c r="B359" t="str">
        <f>SUBSTITUTE(SUBSTITUTE(SUBSTITUTE(SUBSTITUTE(SUBSTITUTE(WA_CDPs[[#This Row],[NAME]]," Tribal Community CDP, Washington","")," CDP, Washington","")," city, Washington","")," town, Washington","")," village, Washington","")</f>
        <v>Meadow Glade</v>
      </c>
      <c r="C359" t="s">
        <v>1621</v>
      </c>
      <c r="D359" t="s">
        <v>707</v>
      </c>
    </row>
    <row r="360" spans="1:4">
      <c r="A360" t="s">
        <v>710</v>
      </c>
      <c r="B360" t="str">
        <f>SUBSTITUTE(SUBSTITUTE(SUBSTITUTE(SUBSTITUTE(SUBSTITUTE(WA_CDPs[[#This Row],[NAME]]," Tribal Community CDP, Washington","")," CDP, Washington","")," city, Washington","")," town, Washington","")," village, Washington","")</f>
        <v>Medical Lake</v>
      </c>
      <c r="C360" t="s">
        <v>1622</v>
      </c>
      <c r="D360" t="s">
        <v>709</v>
      </c>
    </row>
    <row r="361" spans="1:4">
      <c r="A361" t="s">
        <v>712</v>
      </c>
      <c r="B361" t="str">
        <f>SUBSTITUTE(SUBSTITUTE(SUBSTITUTE(SUBSTITUTE(SUBSTITUTE(WA_CDPs[[#This Row],[NAME]]," Tribal Community CDP, Washington","")," CDP, Washington","")," city, Washington","")," town, Washington","")," village, Washington","")</f>
        <v>Medina</v>
      </c>
      <c r="C361" t="s">
        <v>1623</v>
      </c>
      <c r="D361" t="s">
        <v>711</v>
      </c>
    </row>
    <row r="362" spans="1:4">
      <c r="A362" t="s">
        <v>714</v>
      </c>
      <c r="B362" t="str">
        <f>SUBSTITUTE(SUBSTITUTE(SUBSTITUTE(SUBSTITUTE(SUBSTITUTE(WA_CDPs[[#This Row],[NAME]]," Tribal Community CDP, Washington","")," CDP, Washington","")," city, Washington","")," town, Washington","")," village, Washington","")</f>
        <v>Mercer Island</v>
      </c>
      <c r="C362" t="s">
        <v>1624</v>
      </c>
      <c r="D362" t="s">
        <v>713</v>
      </c>
    </row>
    <row r="363" spans="1:4">
      <c r="A363" t="s">
        <v>716</v>
      </c>
      <c r="B363" t="str">
        <f>SUBSTITUTE(SUBSTITUTE(SUBSTITUTE(SUBSTITUTE(SUBSTITUTE(WA_CDPs[[#This Row],[NAME]]," Tribal Community CDP, Washington","")," CDP, Washington","")," city, Washington","")," town, Washington","")," village, Washington","")</f>
        <v>Mesa</v>
      </c>
      <c r="C363" t="s">
        <v>1625</v>
      </c>
      <c r="D363" t="s">
        <v>715</v>
      </c>
    </row>
    <row r="364" spans="1:4">
      <c r="A364" t="s">
        <v>718</v>
      </c>
      <c r="B364" t="str">
        <f>SUBSTITUTE(SUBSTITUTE(SUBSTITUTE(SUBSTITUTE(SUBSTITUTE(WA_CDPs[[#This Row],[NAME]]," Tribal Community CDP, Washington","")," CDP, Washington","")," city, Washington","")," town, Washington","")," village, Washington","")</f>
        <v>Metaline</v>
      </c>
      <c r="C364" t="s">
        <v>1626</v>
      </c>
      <c r="D364" t="s">
        <v>717</v>
      </c>
    </row>
    <row r="365" spans="1:4">
      <c r="A365" t="s">
        <v>720</v>
      </c>
      <c r="B365" t="str">
        <f>SUBSTITUTE(SUBSTITUTE(SUBSTITUTE(SUBSTITUTE(SUBSTITUTE(WA_CDPs[[#This Row],[NAME]]," Tribal Community CDP, Washington","")," CDP, Washington","")," city, Washington","")," town, Washington","")," village, Washington","")</f>
        <v>Metaline Falls</v>
      </c>
      <c r="C365" t="s">
        <v>1627</v>
      </c>
      <c r="D365" t="s">
        <v>719</v>
      </c>
    </row>
    <row r="366" spans="1:4">
      <c r="A366" t="s">
        <v>722</v>
      </c>
      <c r="B366" t="str">
        <f>SUBSTITUTE(SUBSTITUTE(SUBSTITUTE(SUBSTITUTE(SUBSTITUTE(WA_CDPs[[#This Row],[NAME]]," Tribal Community CDP, Washington","")," CDP, Washington","")," city, Washington","")," town, Washington","")," village, Washington","")</f>
        <v>Methow</v>
      </c>
      <c r="C366" t="s">
        <v>1628</v>
      </c>
      <c r="D366" t="s">
        <v>721</v>
      </c>
    </row>
    <row r="367" spans="1:4">
      <c r="A367" t="s">
        <v>724</v>
      </c>
      <c r="B367" t="str">
        <f>SUBSTITUTE(SUBSTITUTE(SUBSTITUTE(SUBSTITUTE(SUBSTITUTE(WA_CDPs[[#This Row],[NAME]]," Tribal Community CDP, Washington","")," CDP, Washington","")," city, Washington","")," town, Washington","")," village, Washington","")</f>
        <v>Midland</v>
      </c>
      <c r="C367" t="s">
        <v>1629</v>
      </c>
      <c r="D367" t="s">
        <v>723</v>
      </c>
    </row>
    <row r="368" spans="1:4">
      <c r="A368" t="s">
        <v>726</v>
      </c>
      <c r="B368" t="str">
        <f>SUBSTITUTE(SUBSTITUTE(SUBSTITUTE(SUBSTITUTE(SUBSTITUTE(WA_CDPs[[#This Row],[NAME]]," Tribal Community CDP, Washington","")," CDP, Washington","")," city, Washington","")," town, Washington","")," village, Washington","")</f>
        <v>Mill Creek</v>
      </c>
      <c r="C368" t="s">
        <v>1630</v>
      </c>
      <c r="D368" t="s">
        <v>725</v>
      </c>
    </row>
    <row r="369" spans="1:4">
      <c r="A369" t="s">
        <v>728</v>
      </c>
      <c r="B369" t="str">
        <f>SUBSTITUTE(SUBSTITUTE(SUBSTITUTE(SUBSTITUTE(SUBSTITUTE(WA_CDPs[[#This Row],[NAME]]," Tribal Community CDP, Washington","")," CDP, Washington","")," city, Washington","")," town, Washington","")," village, Washington","")</f>
        <v>Mill Creek East</v>
      </c>
      <c r="C369" t="s">
        <v>1631</v>
      </c>
      <c r="D369" t="s">
        <v>727</v>
      </c>
    </row>
    <row r="370" spans="1:4">
      <c r="A370" t="s">
        <v>730</v>
      </c>
      <c r="B370" t="str">
        <f>SUBSTITUTE(SUBSTITUTE(SUBSTITUTE(SUBSTITUTE(SUBSTITUTE(WA_CDPs[[#This Row],[NAME]]," Tribal Community CDP, Washington","")," CDP, Washington","")," city, Washington","")," town, Washington","")," village, Washington","")</f>
        <v>Millwood</v>
      </c>
      <c r="C370" t="s">
        <v>1632</v>
      </c>
      <c r="D370" t="s">
        <v>729</v>
      </c>
    </row>
    <row r="371" spans="1:4">
      <c r="A371" t="s">
        <v>732</v>
      </c>
      <c r="B371" t="str">
        <f>SUBSTITUTE(SUBSTITUTE(SUBSTITUTE(SUBSTITUTE(SUBSTITUTE(WA_CDPs[[#This Row],[NAME]]," Tribal Community CDP, Washington","")," CDP, Washington","")," city, Washington","")," town, Washington","")," village, Washington","")</f>
        <v>Milton</v>
      </c>
      <c r="C371" t="s">
        <v>1633</v>
      </c>
      <c r="D371" t="s">
        <v>731</v>
      </c>
    </row>
    <row r="372" spans="1:4">
      <c r="A372" t="s">
        <v>734</v>
      </c>
      <c r="B372" t="str">
        <f>SUBSTITUTE(SUBSTITUTE(SUBSTITUTE(SUBSTITUTE(SUBSTITUTE(WA_CDPs[[#This Row],[NAME]]," Tribal Community CDP, Washington","")," CDP, Washington","")," city, Washington","")," town, Washington","")," village, Washington","")</f>
        <v>Mineral</v>
      </c>
      <c r="C372" t="s">
        <v>1634</v>
      </c>
      <c r="D372" t="s">
        <v>733</v>
      </c>
    </row>
    <row r="373" spans="1:4">
      <c r="A373" t="s">
        <v>736</v>
      </c>
      <c r="B373" t="str">
        <f>SUBSTITUTE(SUBSTITUTE(SUBSTITUTE(SUBSTITUTE(SUBSTITUTE(WA_CDPs[[#This Row],[NAME]]," Tribal Community CDP, Washington","")," CDP, Washington","")," city, Washington","")," town, Washington","")," village, Washington","")</f>
        <v>Minnehaha</v>
      </c>
      <c r="C373" t="s">
        <v>1635</v>
      </c>
      <c r="D373" t="s">
        <v>735</v>
      </c>
    </row>
    <row r="374" spans="1:4">
      <c r="A374" t="s">
        <v>738</v>
      </c>
      <c r="B374" t="str">
        <f>SUBSTITUTE(SUBSTITUTE(SUBSTITUTE(SUBSTITUTE(SUBSTITUTE(WA_CDPs[[#This Row],[NAME]]," Tribal Community CDP, Washington","")," CDP, Washington","")," city, Washington","")," town, Washington","")," village, Washington","")</f>
        <v>Mirrormont</v>
      </c>
      <c r="C374" t="s">
        <v>1636</v>
      </c>
      <c r="D374" t="s">
        <v>737</v>
      </c>
    </row>
    <row r="375" spans="1:4">
      <c r="A375" t="s">
        <v>740</v>
      </c>
      <c r="B375" t="str">
        <f>SUBSTITUTE(SUBSTITUTE(SUBSTITUTE(SUBSTITUTE(SUBSTITUTE(WA_CDPs[[#This Row],[NAME]]," Tribal Community CDP, Washington","")," CDP, Washington","")," city, Washington","")," town, Washington","")," village, Washington","")</f>
        <v>Moclips</v>
      </c>
      <c r="C375" t="s">
        <v>1637</v>
      </c>
      <c r="D375" t="s">
        <v>739</v>
      </c>
    </row>
    <row r="376" spans="1:4">
      <c r="A376" t="s">
        <v>742</v>
      </c>
      <c r="B376" t="str">
        <f>SUBSTITUTE(SUBSTITUTE(SUBSTITUTE(SUBSTITUTE(SUBSTITUTE(WA_CDPs[[#This Row],[NAME]]," Tribal Community CDP, Washington","")," CDP, Washington","")," city, Washington","")," town, Washington","")," village, Washington","")</f>
        <v>Monroe</v>
      </c>
      <c r="C376" t="s">
        <v>1638</v>
      </c>
      <c r="D376" t="s">
        <v>741</v>
      </c>
    </row>
    <row r="377" spans="1:4">
      <c r="A377" t="s">
        <v>744</v>
      </c>
      <c r="B377" t="str">
        <f>SUBSTITUTE(SUBSTITUTE(SUBSTITUTE(SUBSTITUTE(SUBSTITUTE(WA_CDPs[[#This Row],[NAME]]," Tribal Community CDP, Washington","")," CDP, Washington","")," city, Washington","")," town, Washington","")," village, Washington","")</f>
        <v>Monroe North</v>
      </c>
      <c r="C377" t="s">
        <v>1639</v>
      </c>
      <c r="D377" t="s">
        <v>743</v>
      </c>
    </row>
    <row r="378" spans="1:4">
      <c r="A378" t="s">
        <v>746</v>
      </c>
      <c r="B378" t="str">
        <f>SUBSTITUTE(SUBSTITUTE(SUBSTITUTE(SUBSTITUTE(SUBSTITUTE(WA_CDPs[[#This Row],[NAME]]," Tribal Community CDP, Washington","")," CDP, Washington","")," city, Washington","")," town, Washington","")," village, Washington","")</f>
        <v>Montesano</v>
      </c>
      <c r="C378" t="s">
        <v>1640</v>
      </c>
      <c r="D378" t="s">
        <v>745</v>
      </c>
    </row>
    <row r="379" spans="1:4">
      <c r="A379" t="s">
        <v>748</v>
      </c>
      <c r="B379" t="str">
        <f>SUBSTITUTE(SUBSTITUTE(SUBSTITUTE(SUBSTITUTE(SUBSTITUTE(WA_CDPs[[#This Row],[NAME]]," Tribal Community CDP, Washington","")," CDP, Washington","")," city, Washington","")," town, Washington","")," village, Washington","")</f>
        <v>Morton</v>
      </c>
      <c r="C379" t="s">
        <v>1641</v>
      </c>
      <c r="D379" t="s">
        <v>747</v>
      </c>
    </row>
    <row r="380" spans="1:4">
      <c r="A380" t="s">
        <v>750</v>
      </c>
      <c r="B380" t="str">
        <f>SUBSTITUTE(SUBSTITUTE(SUBSTITUTE(SUBSTITUTE(SUBSTITUTE(WA_CDPs[[#This Row],[NAME]]," Tribal Community CDP, Washington","")," CDP, Washington","")," city, Washington","")," town, Washington","")," village, Washington","")</f>
        <v>Moses Lake</v>
      </c>
      <c r="C380" t="s">
        <v>1642</v>
      </c>
      <c r="D380" t="s">
        <v>749</v>
      </c>
    </row>
    <row r="381" spans="1:4">
      <c r="A381" t="s">
        <v>752</v>
      </c>
      <c r="B381" t="str">
        <f>SUBSTITUTE(SUBSTITUTE(SUBSTITUTE(SUBSTITUTE(SUBSTITUTE(WA_CDPs[[#This Row],[NAME]]," Tribal Community CDP, Washington","")," CDP, Washington","")," city, Washington","")," town, Washington","")," village, Washington","")</f>
        <v>Moses Lake North</v>
      </c>
      <c r="C381" t="s">
        <v>1643</v>
      </c>
      <c r="D381" t="s">
        <v>751</v>
      </c>
    </row>
    <row r="382" spans="1:4">
      <c r="A382" t="s">
        <v>754</v>
      </c>
      <c r="B382" t="str">
        <f>SUBSTITUTE(SUBSTITUTE(SUBSTITUTE(SUBSTITUTE(SUBSTITUTE(WA_CDPs[[#This Row],[NAME]]," Tribal Community CDP, Washington","")," CDP, Washington","")," city, Washington","")," town, Washington","")," village, Washington","")</f>
        <v>Mossyrock</v>
      </c>
      <c r="C382" t="s">
        <v>1644</v>
      </c>
      <c r="D382" t="s">
        <v>753</v>
      </c>
    </row>
    <row r="383" spans="1:4">
      <c r="A383" t="s">
        <v>756</v>
      </c>
      <c r="B383" t="str">
        <f>SUBSTITUTE(SUBSTITUTE(SUBSTITUTE(SUBSTITUTE(SUBSTITUTE(WA_CDPs[[#This Row],[NAME]]," Tribal Community CDP, Washington","")," CDP, Washington","")," city, Washington","")," town, Washington","")," village, Washington","")</f>
        <v>Mountlake Terrace</v>
      </c>
      <c r="C383" t="s">
        <v>1645</v>
      </c>
      <c r="D383" t="s">
        <v>755</v>
      </c>
    </row>
    <row r="384" spans="1:4">
      <c r="A384" t="s">
        <v>758</v>
      </c>
      <c r="B384" t="str">
        <f>SUBSTITUTE(SUBSTITUTE(SUBSTITUTE(SUBSTITUTE(SUBSTITUTE(WA_CDPs[[#This Row],[NAME]]," Tribal Community CDP, Washington","")," CDP, Washington","")," city, Washington","")," town, Washington","")," village, Washington","")</f>
        <v>Mount Vernon</v>
      </c>
      <c r="C384" t="s">
        <v>1646</v>
      </c>
      <c r="D384" t="s">
        <v>757</v>
      </c>
    </row>
    <row r="385" spans="1:4">
      <c r="A385" t="s">
        <v>760</v>
      </c>
      <c r="B385" t="str">
        <f>SUBSTITUTE(SUBSTITUTE(SUBSTITUTE(SUBSTITUTE(SUBSTITUTE(WA_CDPs[[#This Row],[NAME]]," Tribal Community CDP, Washington","")," CDP, Washington","")," city, Washington","")," town, Washington","")," village, Washington","")</f>
        <v>Mount Vista</v>
      </c>
      <c r="C385" t="s">
        <v>1647</v>
      </c>
      <c r="D385" t="s">
        <v>759</v>
      </c>
    </row>
    <row r="386" spans="1:4">
      <c r="A386" t="s">
        <v>762</v>
      </c>
      <c r="B386" t="str">
        <f>SUBSTITUTE(SUBSTITUTE(SUBSTITUTE(SUBSTITUTE(SUBSTITUTE(WA_CDPs[[#This Row],[NAME]]," Tribal Community CDP, Washington","")," CDP, Washington","")," city, Washington","")," town, Washington","")," village, Washington","")</f>
        <v>Moxee</v>
      </c>
      <c r="C386" t="s">
        <v>1648</v>
      </c>
      <c r="D386" t="s">
        <v>761</v>
      </c>
    </row>
    <row r="387" spans="1:4">
      <c r="A387" t="s">
        <v>764</v>
      </c>
      <c r="B387" t="str">
        <f>SUBSTITUTE(SUBSTITUTE(SUBSTITUTE(SUBSTITUTE(SUBSTITUTE(WA_CDPs[[#This Row],[NAME]]," Tribal Community CDP, Washington","")," CDP, Washington","")," city, Washington","")," town, Washington","")," village, Washington","")</f>
        <v>Mukilteo</v>
      </c>
      <c r="C387" t="s">
        <v>1649</v>
      </c>
      <c r="D387" t="s">
        <v>763</v>
      </c>
    </row>
    <row r="388" spans="1:4">
      <c r="A388" t="s">
        <v>766</v>
      </c>
      <c r="B388" t="str">
        <f>SUBSTITUTE(SUBSTITUTE(SUBSTITUTE(SUBSTITUTE(SUBSTITUTE(WA_CDPs[[#This Row],[NAME]]," Tribal Community CDP, Washington","")," CDP, Washington","")," city, Washington","")," town, Washington","")," village, Washington","")</f>
        <v>Naches</v>
      </c>
      <c r="C388" t="s">
        <v>1650</v>
      </c>
      <c r="D388" t="s">
        <v>765</v>
      </c>
    </row>
    <row r="389" spans="1:4">
      <c r="A389" t="s">
        <v>768</v>
      </c>
      <c r="B389" t="str">
        <f>SUBSTITUTE(SUBSTITUTE(SUBSTITUTE(SUBSTITUTE(SUBSTITUTE(WA_CDPs[[#This Row],[NAME]]," Tribal Community CDP, Washington","")," CDP, Washington","")," city, Washington","")," town, Washington","")," village, Washington","")</f>
        <v>Napavine</v>
      </c>
      <c r="C389" t="s">
        <v>1651</v>
      </c>
      <c r="D389" t="s">
        <v>767</v>
      </c>
    </row>
    <row r="390" spans="1:4">
      <c r="A390" t="s">
        <v>770</v>
      </c>
      <c r="B390" t="str">
        <f>SUBSTITUTE(SUBSTITUTE(SUBSTITUTE(SUBSTITUTE(SUBSTITUTE(WA_CDPs[[#This Row],[NAME]]," Tribal Community CDP, Washington","")," CDP, Washington","")," city, Washington","")," town, Washington","")," village, Washington","")</f>
        <v>Naselle</v>
      </c>
      <c r="C390" t="s">
        <v>1652</v>
      </c>
      <c r="D390" t="s">
        <v>769</v>
      </c>
    </row>
    <row r="391" spans="1:4">
      <c r="A391" t="s">
        <v>772</v>
      </c>
      <c r="B391" t="str">
        <f>SUBSTITUTE(SUBSTITUTE(SUBSTITUTE(SUBSTITUTE(SUBSTITUTE(WA_CDPs[[#This Row],[NAME]]," Tribal Community CDP, Washington","")," CDP, Washington","")," city, Washington","")," town, Washington","")," village, Washington","")</f>
        <v>Navy Yard City</v>
      </c>
      <c r="C391" t="s">
        <v>1653</v>
      </c>
      <c r="D391" t="s">
        <v>771</v>
      </c>
    </row>
    <row r="392" spans="1:4">
      <c r="A392" t="s">
        <v>774</v>
      </c>
      <c r="B392" t="str">
        <f>SUBSTITUTE(SUBSTITUTE(SUBSTITUTE(SUBSTITUTE(SUBSTITUTE(WA_CDPs[[#This Row],[NAME]]," Tribal Community CDP, Washington","")," CDP, Washington","")," city, Washington","")," town, Washington","")," village, Washington","")</f>
        <v>Neah Bay</v>
      </c>
      <c r="C392" t="s">
        <v>1654</v>
      </c>
      <c r="D392" t="s">
        <v>773</v>
      </c>
    </row>
    <row r="393" spans="1:4">
      <c r="A393" t="s">
        <v>776</v>
      </c>
      <c r="B393" t="str">
        <f>SUBSTITUTE(SUBSTITUTE(SUBSTITUTE(SUBSTITUTE(SUBSTITUTE(WA_CDPs[[#This Row],[NAME]]," Tribal Community CDP, Washington","")," CDP, Washington","")," city, Washington","")," town, Washington","")," village, Washington","")</f>
        <v>Neilton</v>
      </c>
      <c r="C393" t="s">
        <v>1655</v>
      </c>
      <c r="D393" t="s">
        <v>775</v>
      </c>
    </row>
    <row r="394" spans="1:4">
      <c r="A394" t="s">
        <v>778</v>
      </c>
      <c r="B394" t="str">
        <f>SUBSTITUTE(SUBSTITUTE(SUBSTITUTE(SUBSTITUTE(SUBSTITUTE(WA_CDPs[[#This Row],[NAME]]," Tribal Community CDP, Washington","")," CDP, Washington","")," city, Washington","")," town, Washington","")," village, Washington","")</f>
        <v>Nespelem</v>
      </c>
      <c r="C394" t="s">
        <v>1656</v>
      </c>
      <c r="D394" t="s">
        <v>777</v>
      </c>
    </row>
    <row r="395" spans="1:4">
      <c r="A395" t="s">
        <v>780</v>
      </c>
      <c r="B395" t="str">
        <f>SUBSTITUTE(SUBSTITUTE(SUBSTITUTE(SUBSTITUTE(SUBSTITUTE(WA_CDPs[[#This Row],[NAME]]," Tribal Community CDP, Washington","")," CDP, Washington","")," city, Washington","")," town, Washington","")," village, Washington","")</f>
        <v>Nespelem Community</v>
      </c>
      <c r="C395" t="s">
        <v>1657</v>
      </c>
      <c r="D395" t="s">
        <v>779</v>
      </c>
    </row>
    <row r="396" spans="1:4">
      <c r="A396" t="s">
        <v>782</v>
      </c>
      <c r="B396" t="str">
        <f>SUBSTITUTE(SUBSTITUTE(SUBSTITUTE(SUBSTITUTE(SUBSTITUTE(WA_CDPs[[#This Row],[NAME]]," Tribal Community CDP, Washington","")," CDP, Washington","")," city, Washington","")," town, Washington","")," village, Washington","")</f>
        <v>Newcastle</v>
      </c>
      <c r="C396" t="s">
        <v>1658</v>
      </c>
      <c r="D396" t="s">
        <v>781</v>
      </c>
    </row>
    <row r="397" spans="1:4">
      <c r="A397" t="s">
        <v>784</v>
      </c>
      <c r="B397" t="str">
        <f>SUBSTITUTE(SUBSTITUTE(SUBSTITUTE(SUBSTITUTE(SUBSTITUTE(WA_CDPs[[#This Row],[NAME]]," Tribal Community CDP, Washington","")," CDP, Washington","")," city, Washington","")," town, Washington","")," village, Washington","")</f>
        <v>Newport</v>
      </c>
      <c r="C397" t="s">
        <v>1659</v>
      </c>
      <c r="D397" t="s">
        <v>783</v>
      </c>
    </row>
    <row r="398" spans="1:4">
      <c r="A398" t="s">
        <v>786</v>
      </c>
      <c r="B398" t="str">
        <f>SUBSTITUTE(SUBSTITUTE(SUBSTITUTE(SUBSTITUTE(SUBSTITUTE(WA_CDPs[[#This Row],[NAME]]," Tribal Community CDP, Washington","")," CDP, Washington","")," city, Washington","")," town, Washington","")," village, Washington","")</f>
        <v>Nile</v>
      </c>
      <c r="C398" t="s">
        <v>1660</v>
      </c>
      <c r="D398" t="s">
        <v>785</v>
      </c>
    </row>
    <row r="399" spans="1:4">
      <c r="A399" t="s">
        <v>788</v>
      </c>
      <c r="B399" t="str">
        <f>SUBSTITUTE(SUBSTITUTE(SUBSTITUTE(SUBSTITUTE(SUBSTITUTE(WA_CDPs[[#This Row],[NAME]]," Tribal Community CDP, Washington","")," CDP, Washington","")," city, Washington","")," town, Washington","")," village, Washington","")</f>
        <v>Nisqually Indian Community</v>
      </c>
      <c r="C399" t="s">
        <v>1661</v>
      </c>
      <c r="D399" t="s">
        <v>787</v>
      </c>
    </row>
    <row r="400" spans="1:4">
      <c r="A400" t="s">
        <v>790</v>
      </c>
      <c r="B400" t="str">
        <f>SUBSTITUTE(SUBSTITUTE(SUBSTITUTE(SUBSTITUTE(SUBSTITUTE(WA_CDPs[[#This Row],[NAME]]," Tribal Community CDP, Washington","")," CDP, Washington","")," city, Washington","")," town, Washington","")," village, Washington","")</f>
        <v>Nooksack</v>
      </c>
      <c r="C400" t="s">
        <v>1662</v>
      </c>
      <c r="D400" t="s">
        <v>789</v>
      </c>
    </row>
    <row r="401" spans="1:4">
      <c r="A401" t="s">
        <v>792</v>
      </c>
      <c r="B401" t="str">
        <f>SUBSTITUTE(SUBSTITUTE(SUBSTITUTE(SUBSTITUTE(SUBSTITUTE(WA_CDPs[[#This Row],[NAME]]," Tribal Community CDP, Washington","")," CDP, Washington","")," city, Washington","")," town, Washington","")," village, Washington","")</f>
        <v>Normandy Park</v>
      </c>
      <c r="C401" t="s">
        <v>1663</v>
      </c>
      <c r="D401" t="s">
        <v>791</v>
      </c>
    </row>
    <row r="402" spans="1:4">
      <c r="A402" t="s">
        <v>794</v>
      </c>
      <c r="B402" t="str">
        <f>SUBSTITUTE(SUBSTITUTE(SUBSTITUTE(SUBSTITUTE(SUBSTITUTE(WA_CDPs[[#This Row],[NAME]]," Tribal Community CDP, Washington","")," CDP, Washington","")," city, Washington","")," town, Washington","")," village, Washington","")</f>
        <v>North Bend</v>
      </c>
      <c r="C402" t="s">
        <v>1664</v>
      </c>
      <c r="D402" t="s">
        <v>793</v>
      </c>
    </row>
    <row r="403" spans="1:4">
      <c r="A403" t="s">
        <v>796</v>
      </c>
      <c r="B403" t="str">
        <f>SUBSTITUTE(SUBSTITUTE(SUBSTITUTE(SUBSTITUTE(SUBSTITUTE(WA_CDPs[[#This Row],[NAME]]," Tribal Community CDP, Washington","")," CDP, Washington","")," city, Washington","")," town, Washington","")," village, Washington","")</f>
        <v>North Bonneville</v>
      </c>
      <c r="C403" t="s">
        <v>1665</v>
      </c>
      <c r="D403" t="s">
        <v>795</v>
      </c>
    </row>
    <row r="404" spans="1:4">
      <c r="A404" t="s">
        <v>798</v>
      </c>
      <c r="B404" t="str">
        <f>SUBSTITUTE(SUBSTITUTE(SUBSTITUTE(SUBSTITUTE(SUBSTITUTE(WA_CDPs[[#This Row],[NAME]]," Tribal Community CDP, Washington","")," CDP, Washington","")," city, Washington","")," town, Washington","")," village, Washington","")</f>
        <v>North Fort Lewis</v>
      </c>
      <c r="C404" t="s">
        <v>1666</v>
      </c>
      <c r="D404" t="s">
        <v>797</v>
      </c>
    </row>
    <row r="405" spans="1:4">
      <c r="A405" t="s">
        <v>800</v>
      </c>
      <c r="B405" t="str">
        <f>SUBSTITUTE(SUBSTITUTE(SUBSTITUTE(SUBSTITUTE(SUBSTITUTE(WA_CDPs[[#This Row],[NAME]]," Tribal Community CDP, Washington","")," CDP, Washington","")," city, Washington","")," town, Washington","")," village, Washington","")</f>
        <v>North Lynnwood</v>
      </c>
      <c r="C405" t="s">
        <v>1667</v>
      </c>
      <c r="D405" t="s">
        <v>799</v>
      </c>
    </row>
    <row r="406" spans="1:4">
      <c r="A406" t="s">
        <v>802</v>
      </c>
      <c r="B406" t="str">
        <f>SUBSTITUTE(SUBSTITUTE(SUBSTITUTE(SUBSTITUTE(SUBSTITUTE(WA_CDPs[[#This Row],[NAME]]," Tribal Community CDP, Washington","")," CDP, Washington","")," city, Washington","")," town, Washington","")," village, Washington","")</f>
        <v>North Omak</v>
      </c>
      <c r="C406" t="s">
        <v>1668</v>
      </c>
      <c r="D406" t="s">
        <v>801</v>
      </c>
    </row>
    <row r="407" spans="1:4">
      <c r="A407" t="s">
        <v>804</v>
      </c>
      <c r="B407" t="str">
        <f>SUBSTITUTE(SUBSTITUTE(SUBSTITUTE(SUBSTITUTE(SUBSTITUTE(WA_CDPs[[#This Row],[NAME]]," Tribal Community CDP, Washington","")," CDP, Washington","")," city, Washington","")," town, Washington","")," village, Washington","")</f>
        <v>Northport</v>
      </c>
      <c r="C407" t="s">
        <v>1669</v>
      </c>
      <c r="D407" t="s">
        <v>803</v>
      </c>
    </row>
    <row r="408" spans="1:4">
      <c r="A408" t="s">
        <v>806</v>
      </c>
      <c r="B408" t="str">
        <f>SUBSTITUTE(SUBSTITUTE(SUBSTITUTE(SUBSTITUTE(SUBSTITUTE(WA_CDPs[[#This Row],[NAME]]," Tribal Community CDP, Washington","")," CDP, Washington","")," city, Washington","")," town, Washington","")," village, Washington","")</f>
        <v>North Puyallup</v>
      </c>
      <c r="C408" t="s">
        <v>1670</v>
      </c>
      <c r="D408" t="s">
        <v>805</v>
      </c>
    </row>
    <row r="409" spans="1:4">
      <c r="A409" t="s">
        <v>808</v>
      </c>
      <c r="B409" t="str">
        <f>SUBSTITUTE(SUBSTITUTE(SUBSTITUTE(SUBSTITUTE(SUBSTITUTE(WA_CDPs[[#This Row],[NAME]]," Tribal Community CDP, Washington","")," CDP, Washington","")," city, Washington","")," town, Washington","")," village, Washington","")</f>
        <v>North Sultan</v>
      </c>
      <c r="C409" t="s">
        <v>1671</v>
      </c>
      <c r="D409" t="s">
        <v>807</v>
      </c>
    </row>
    <row r="410" spans="1:4">
      <c r="A410" t="s">
        <v>810</v>
      </c>
      <c r="B410" t="str">
        <f>SUBSTITUTE(SUBSTITUTE(SUBSTITUTE(SUBSTITUTE(SUBSTITUTE(WA_CDPs[[#This Row],[NAME]]," Tribal Community CDP, Washington","")," CDP, Washington","")," city, Washington","")," town, Washington","")," village, Washington","")</f>
        <v>Northwest Stanwood</v>
      </c>
      <c r="C410" t="s">
        <v>1672</v>
      </c>
      <c r="D410" t="s">
        <v>809</v>
      </c>
    </row>
    <row r="411" spans="1:4">
      <c r="A411" t="s">
        <v>812</v>
      </c>
      <c r="B411" t="str">
        <f>SUBSTITUTE(SUBSTITUTE(SUBSTITUTE(SUBSTITUTE(SUBSTITUTE(WA_CDPs[[#This Row],[NAME]]," Tribal Community CDP, Washington","")," CDP, Washington","")," city, Washington","")," town, Washington","")," village, Washington","")</f>
        <v>North Yelm</v>
      </c>
      <c r="C411" t="s">
        <v>1673</v>
      </c>
      <c r="D411" t="s">
        <v>811</v>
      </c>
    </row>
    <row r="412" spans="1:4">
      <c r="A412" t="s">
        <v>814</v>
      </c>
      <c r="B412" t="str">
        <f>SUBSTITUTE(SUBSTITUTE(SUBSTITUTE(SUBSTITUTE(SUBSTITUTE(WA_CDPs[[#This Row],[NAME]]," Tribal Community CDP, Washington","")," CDP, Washington","")," city, Washington","")," town, Washington","")," village, Washington","")</f>
        <v>Oakesdale</v>
      </c>
      <c r="C412" t="s">
        <v>1674</v>
      </c>
      <c r="D412" t="s">
        <v>813</v>
      </c>
    </row>
    <row r="413" spans="1:4">
      <c r="A413" t="s">
        <v>816</v>
      </c>
      <c r="B413" t="str">
        <f>SUBSTITUTE(SUBSTITUTE(SUBSTITUTE(SUBSTITUTE(SUBSTITUTE(WA_CDPs[[#This Row],[NAME]]," Tribal Community CDP, Washington","")," CDP, Washington","")," city, Washington","")," town, Washington","")," village, Washington","")</f>
        <v>Oak Harbor</v>
      </c>
      <c r="C413" t="s">
        <v>1675</v>
      </c>
      <c r="D413" t="s">
        <v>815</v>
      </c>
    </row>
    <row r="414" spans="1:4">
      <c r="A414" t="s">
        <v>818</v>
      </c>
      <c r="B414" t="str">
        <f>SUBSTITUTE(SUBSTITUTE(SUBSTITUTE(SUBSTITUTE(SUBSTITUTE(WA_CDPs[[#This Row],[NAME]]," Tribal Community CDP, Washington","")," CDP, Washington","")," city, Washington","")," town, Washington","")," village, Washington","")</f>
        <v>Oakville</v>
      </c>
      <c r="C414" t="s">
        <v>1676</v>
      </c>
      <c r="D414" t="s">
        <v>817</v>
      </c>
    </row>
    <row r="415" spans="1:4">
      <c r="A415" t="s">
        <v>820</v>
      </c>
      <c r="B415" t="str">
        <f>SUBSTITUTE(SUBSTITUTE(SUBSTITUTE(SUBSTITUTE(SUBSTITUTE(WA_CDPs[[#This Row],[NAME]]," Tribal Community CDP, Washington","")," CDP, Washington","")," city, Washington","")," town, Washington","")," village, Washington","")</f>
        <v>Ocean City</v>
      </c>
      <c r="C415" t="s">
        <v>1677</v>
      </c>
      <c r="D415" t="s">
        <v>819</v>
      </c>
    </row>
    <row r="416" spans="1:4">
      <c r="A416" t="s">
        <v>822</v>
      </c>
      <c r="B416" t="str">
        <f>SUBSTITUTE(SUBSTITUTE(SUBSTITUTE(SUBSTITUTE(SUBSTITUTE(WA_CDPs[[#This Row],[NAME]]," Tribal Community CDP, Washington","")," CDP, Washington","")," city, Washington","")," town, Washington","")," village, Washington","")</f>
        <v>Ocean Park</v>
      </c>
      <c r="C416" t="s">
        <v>1678</v>
      </c>
      <c r="D416" t="s">
        <v>821</v>
      </c>
    </row>
    <row r="417" spans="1:4">
      <c r="A417" t="s">
        <v>824</v>
      </c>
      <c r="B417" t="str">
        <f>SUBSTITUTE(SUBSTITUTE(SUBSTITUTE(SUBSTITUTE(SUBSTITUTE(WA_CDPs[[#This Row],[NAME]]," Tribal Community CDP, Washington","")," CDP, Washington","")," city, Washington","")," town, Washington","")," village, Washington","")</f>
        <v>Ocean Shores</v>
      </c>
      <c r="C417" t="s">
        <v>1679</v>
      </c>
      <c r="D417" t="s">
        <v>823</v>
      </c>
    </row>
    <row r="418" spans="1:4">
      <c r="A418" t="s">
        <v>2450</v>
      </c>
      <c r="B418" t="str">
        <f>SUBSTITUTE(SUBSTITUTE(SUBSTITUTE(SUBSTITUTE(SUBSTITUTE(WA_CDPs[[#This Row],[NAME]]," Tribal Community CDP, Washington","")," CDP, Washington","")," city, Washington","")," town, Washington","")," village, Washington","")</f>
        <v>Ocosta</v>
      </c>
      <c r="C418" t="s">
        <v>2449</v>
      </c>
      <c r="D418" t="e">
        <v>#N/A</v>
      </c>
    </row>
    <row r="419" spans="1:4">
      <c r="A419" t="s">
        <v>826</v>
      </c>
      <c r="B419" t="str">
        <f>SUBSTITUTE(SUBSTITUTE(SUBSTITUTE(SUBSTITUTE(SUBSTITUTE(WA_CDPs[[#This Row],[NAME]]," Tribal Community CDP, Washington","")," CDP, Washington","")," city, Washington","")," town, Washington","")," village, Washington","")</f>
        <v>Odessa</v>
      </c>
      <c r="C419" t="s">
        <v>1680</v>
      </c>
      <c r="D419" t="s">
        <v>825</v>
      </c>
    </row>
    <row r="420" spans="1:4">
      <c r="A420" t="s">
        <v>828</v>
      </c>
      <c r="B420" t="str">
        <f>SUBSTITUTE(SUBSTITUTE(SUBSTITUTE(SUBSTITUTE(SUBSTITUTE(WA_CDPs[[#This Row],[NAME]]," Tribal Community CDP, Washington","")," CDP, Washington","")," city, Washington","")," town, Washington","")," village, Washington","")</f>
        <v>Okanogan</v>
      </c>
      <c r="C420" t="s">
        <v>1681</v>
      </c>
      <c r="D420" t="s">
        <v>827</v>
      </c>
    </row>
    <row r="421" spans="1:4">
      <c r="A421" t="s">
        <v>830</v>
      </c>
      <c r="B421" t="str">
        <f>SUBSTITUTE(SUBSTITUTE(SUBSTITUTE(SUBSTITUTE(SUBSTITUTE(WA_CDPs[[#This Row],[NAME]]," Tribal Community CDP, Washington","")," CDP, Washington","")," city, Washington","")," town, Washington","")," village, Washington","")</f>
        <v>Olympia</v>
      </c>
      <c r="C421" t="s">
        <v>1682</v>
      </c>
      <c r="D421" t="s">
        <v>829</v>
      </c>
    </row>
    <row r="422" spans="1:4">
      <c r="A422" t="s">
        <v>832</v>
      </c>
      <c r="B422" t="str">
        <f>SUBSTITUTE(SUBSTITUTE(SUBSTITUTE(SUBSTITUTE(SUBSTITUTE(WA_CDPs[[#This Row],[NAME]]," Tribal Community CDP, Washington","")," CDP, Washington","")," city, Washington","")," town, Washington","")," village, Washington","")</f>
        <v>Omak</v>
      </c>
      <c r="C422" t="s">
        <v>1683</v>
      </c>
      <c r="D422" t="s">
        <v>831</v>
      </c>
    </row>
    <row r="423" spans="1:4">
      <c r="A423" t="s">
        <v>834</v>
      </c>
      <c r="B423" t="str">
        <f>SUBSTITUTE(SUBSTITUTE(SUBSTITUTE(SUBSTITUTE(SUBSTITUTE(WA_CDPs[[#This Row],[NAME]]," Tribal Community CDP, Washington","")," CDP, Washington","")," city, Washington","")," town, Washington","")," village, Washington","")</f>
        <v>Onalaska</v>
      </c>
      <c r="C423" t="s">
        <v>1684</v>
      </c>
      <c r="D423" t="s">
        <v>833</v>
      </c>
    </row>
    <row r="424" spans="1:4">
      <c r="A424" t="s">
        <v>836</v>
      </c>
      <c r="B424" t="str">
        <f>SUBSTITUTE(SUBSTITUTE(SUBSTITUTE(SUBSTITUTE(SUBSTITUTE(WA_CDPs[[#This Row],[NAME]]," Tribal Community CDP, Washington","")," CDP, Washington","")," city, Washington","")," town, Washington","")," village, Washington","")</f>
        <v>Orchards</v>
      </c>
      <c r="C424" t="s">
        <v>1685</v>
      </c>
      <c r="D424" t="s">
        <v>835</v>
      </c>
    </row>
    <row r="425" spans="1:4">
      <c r="A425" t="s">
        <v>838</v>
      </c>
      <c r="B425" t="str">
        <f>SUBSTITUTE(SUBSTITUTE(SUBSTITUTE(SUBSTITUTE(SUBSTITUTE(WA_CDPs[[#This Row],[NAME]]," Tribal Community CDP, Washington","")," CDP, Washington","")," city, Washington","")," town, Washington","")," village, Washington","")</f>
        <v>Orient</v>
      </c>
      <c r="C425" t="s">
        <v>1686</v>
      </c>
      <c r="D425" t="s">
        <v>837</v>
      </c>
    </row>
    <row r="426" spans="1:4">
      <c r="A426" t="s">
        <v>840</v>
      </c>
      <c r="B426" t="str">
        <f>SUBSTITUTE(SUBSTITUTE(SUBSTITUTE(SUBSTITUTE(SUBSTITUTE(WA_CDPs[[#This Row],[NAME]]," Tribal Community CDP, Washington","")," CDP, Washington","")," city, Washington","")," town, Washington","")," village, Washington","")</f>
        <v>Oroville</v>
      </c>
      <c r="C426" t="s">
        <v>1687</v>
      </c>
      <c r="D426" t="s">
        <v>839</v>
      </c>
    </row>
    <row r="427" spans="1:4">
      <c r="A427" t="s">
        <v>842</v>
      </c>
      <c r="B427" t="str">
        <f>SUBSTITUTE(SUBSTITUTE(SUBSTITUTE(SUBSTITUTE(SUBSTITUTE(WA_CDPs[[#This Row],[NAME]]," Tribal Community CDP, Washington","")," CDP, Washington","")," city, Washington","")," town, Washington","")," village, Washington","")</f>
        <v>Orting</v>
      </c>
      <c r="C427" t="s">
        <v>1688</v>
      </c>
      <c r="D427" t="s">
        <v>841</v>
      </c>
    </row>
    <row r="428" spans="1:4">
      <c r="A428" t="s">
        <v>844</v>
      </c>
      <c r="B428" t="str">
        <f>SUBSTITUTE(SUBSTITUTE(SUBSTITUTE(SUBSTITUTE(SUBSTITUTE(WA_CDPs[[#This Row],[NAME]]," Tribal Community CDP, Washington","")," CDP, Washington","")," city, Washington","")," town, Washington","")," village, Washington","")</f>
        <v>Oso</v>
      </c>
      <c r="C428" t="s">
        <v>1689</v>
      </c>
      <c r="D428" t="s">
        <v>843</v>
      </c>
    </row>
    <row r="429" spans="1:4">
      <c r="A429" t="s">
        <v>846</v>
      </c>
      <c r="B429" t="str">
        <f>SUBSTITUTE(SUBSTITUTE(SUBSTITUTE(SUBSTITUTE(SUBSTITUTE(WA_CDPs[[#This Row],[NAME]]," Tribal Community CDP, Washington","")," CDP, Washington","")," city, Washington","")," town, Washington","")," village, Washington","")</f>
        <v>Othello</v>
      </c>
      <c r="C429" t="s">
        <v>1690</v>
      </c>
      <c r="D429" t="s">
        <v>845</v>
      </c>
    </row>
    <row r="430" spans="1:4">
      <c r="A430" t="s">
        <v>848</v>
      </c>
      <c r="B430" t="str">
        <f>SUBSTITUTE(SUBSTITUTE(SUBSTITUTE(SUBSTITUTE(SUBSTITUTE(WA_CDPs[[#This Row],[NAME]]," Tribal Community CDP, Washington","")," CDP, Washington","")," city, Washington","")," town, Washington","")," village, Washington","")</f>
        <v>Otis Orchards-East Farms</v>
      </c>
      <c r="C430" t="s">
        <v>1691</v>
      </c>
      <c r="D430" t="s">
        <v>847</v>
      </c>
    </row>
    <row r="431" spans="1:4">
      <c r="A431" t="s">
        <v>850</v>
      </c>
      <c r="B431" t="str">
        <f>SUBSTITUTE(SUBSTITUTE(SUBSTITUTE(SUBSTITUTE(SUBSTITUTE(WA_CDPs[[#This Row],[NAME]]," Tribal Community CDP, Washington","")," CDP, Washington","")," city, Washington","")," town, Washington","")," village, Washington","")</f>
        <v>Outlook</v>
      </c>
      <c r="C431" t="s">
        <v>1692</v>
      </c>
      <c r="D431" t="s">
        <v>849</v>
      </c>
    </row>
    <row r="432" spans="1:4">
      <c r="A432" t="s">
        <v>852</v>
      </c>
      <c r="B432" t="str">
        <f>SUBSTITUTE(SUBSTITUTE(SUBSTITUTE(SUBSTITUTE(SUBSTITUTE(WA_CDPs[[#This Row],[NAME]]," Tribal Community CDP, Washington","")," CDP, Washington","")," city, Washington","")," town, Washington","")," village, Washington","")</f>
        <v>Oyehut</v>
      </c>
      <c r="C432" t="s">
        <v>1693</v>
      </c>
      <c r="D432" t="s">
        <v>851</v>
      </c>
    </row>
    <row r="433" spans="1:4">
      <c r="A433" t="s">
        <v>854</v>
      </c>
      <c r="B433" t="str">
        <f>SUBSTITUTE(SUBSTITUTE(SUBSTITUTE(SUBSTITUTE(SUBSTITUTE(WA_CDPs[[#This Row],[NAME]]," Tribal Community CDP, Washington","")," CDP, Washington","")," city, Washington","")," town, Washington","")," village, Washington","")</f>
        <v>Pacific</v>
      </c>
      <c r="C433" t="s">
        <v>1694</v>
      </c>
      <c r="D433" t="s">
        <v>853</v>
      </c>
    </row>
    <row r="434" spans="1:4">
      <c r="A434" t="s">
        <v>856</v>
      </c>
      <c r="B434" t="str">
        <f>SUBSTITUTE(SUBSTITUTE(SUBSTITUTE(SUBSTITUTE(SUBSTITUTE(WA_CDPs[[#This Row],[NAME]]," Tribal Community CDP, Washington","")," CDP, Washington","")," city, Washington","")," town, Washington","")," village, Washington","")</f>
        <v>Pacific Beach</v>
      </c>
      <c r="C434" t="s">
        <v>1695</v>
      </c>
      <c r="D434" t="s">
        <v>855</v>
      </c>
    </row>
    <row r="435" spans="1:4">
      <c r="A435" t="s">
        <v>858</v>
      </c>
      <c r="B435" t="str">
        <f>SUBSTITUTE(SUBSTITUTE(SUBSTITUTE(SUBSTITUTE(SUBSTITUTE(WA_CDPs[[#This Row],[NAME]]," Tribal Community CDP, Washington","")," CDP, Washington","")," city, Washington","")," town, Washington","")," village, Washington","")</f>
        <v>Packwood</v>
      </c>
      <c r="C435" t="s">
        <v>1696</v>
      </c>
      <c r="D435" t="s">
        <v>857</v>
      </c>
    </row>
    <row r="436" spans="1:4">
      <c r="A436" t="s">
        <v>860</v>
      </c>
      <c r="B436" t="str">
        <f>SUBSTITUTE(SUBSTITUTE(SUBSTITUTE(SUBSTITUTE(SUBSTITUTE(WA_CDPs[[#This Row],[NAME]]," Tribal Community CDP, Washington","")," CDP, Washington","")," city, Washington","")," town, Washington","")," village, Washington","")</f>
        <v>Palouse</v>
      </c>
      <c r="C436" t="s">
        <v>1697</v>
      </c>
      <c r="D436" t="s">
        <v>859</v>
      </c>
    </row>
    <row r="437" spans="1:4">
      <c r="A437" t="s">
        <v>862</v>
      </c>
      <c r="B437" t="str">
        <f>SUBSTITUTE(SUBSTITUTE(SUBSTITUTE(SUBSTITUTE(SUBSTITUTE(WA_CDPs[[#This Row],[NAME]]," Tribal Community CDP, Washington","")," CDP, Washington","")," city, Washington","")," town, Washington","")," village, Washington","")</f>
        <v>Parker</v>
      </c>
      <c r="C437" t="s">
        <v>1698</v>
      </c>
      <c r="D437" t="s">
        <v>861</v>
      </c>
    </row>
    <row r="438" spans="1:4">
      <c r="A438" t="s">
        <v>864</v>
      </c>
      <c r="B438" t="str">
        <f>SUBSTITUTE(SUBSTITUTE(SUBSTITUTE(SUBSTITUTE(SUBSTITUTE(WA_CDPs[[#This Row],[NAME]]," Tribal Community CDP, Washington","")," CDP, Washington","")," city, Washington","")," town, Washington","")," village, Washington","")</f>
        <v>Parkland</v>
      </c>
      <c r="C438" t="s">
        <v>1699</v>
      </c>
      <c r="D438" t="s">
        <v>863</v>
      </c>
    </row>
    <row r="439" spans="1:4">
      <c r="A439" t="s">
        <v>866</v>
      </c>
      <c r="B439" t="str">
        <f>SUBSTITUTE(SUBSTITUTE(SUBSTITUTE(SUBSTITUTE(SUBSTITUTE(WA_CDPs[[#This Row],[NAME]]," Tribal Community CDP, Washington","")," CDP, Washington","")," city, Washington","")," town, Washington","")," village, Washington","")</f>
        <v>Parkwood</v>
      </c>
      <c r="C439" t="s">
        <v>1700</v>
      </c>
      <c r="D439" t="s">
        <v>865</v>
      </c>
    </row>
    <row r="440" spans="1:4">
      <c r="A440" t="s">
        <v>868</v>
      </c>
      <c r="B440" t="str">
        <f>SUBSTITUTE(SUBSTITUTE(SUBSTITUTE(SUBSTITUTE(SUBSTITUTE(WA_CDPs[[#This Row],[NAME]]," Tribal Community CDP, Washington","")," CDP, Washington","")," city, Washington","")," town, Washington","")," village, Washington","")</f>
        <v>Pasco</v>
      </c>
      <c r="C440" t="s">
        <v>1701</v>
      </c>
      <c r="D440" t="s">
        <v>867</v>
      </c>
    </row>
    <row r="441" spans="1:4">
      <c r="A441" t="s">
        <v>2452</v>
      </c>
      <c r="B441" t="str">
        <f>SUBSTITUTE(SUBSTITUTE(SUBSTITUTE(SUBSTITUTE(SUBSTITUTE(WA_CDPs[[#This Row],[NAME]]," Tribal Community CDP, Washington","")," CDP, Washington","")," city, Washington","")," town, Washington","")," village, Washington","")</f>
        <v>Pataha</v>
      </c>
      <c r="C441" t="s">
        <v>2451</v>
      </c>
      <c r="D441" t="e">
        <v>#N/A</v>
      </c>
    </row>
    <row r="442" spans="1:4">
      <c r="A442" t="s">
        <v>870</v>
      </c>
      <c r="B442" t="str">
        <f>SUBSTITUTE(SUBSTITUTE(SUBSTITUTE(SUBSTITUTE(SUBSTITUTE(WA_CDPs[[#This Row],[NAME]]," Tribal Community CDP, Washington","")," CDP, Washington","")," city, Washington","")," town, Washington","")," village, Washington","")</f>
        <v>Pateros</v>
      </c>
      <c r="C442" t="s">
        <v>1702</v>
      </c>
      <c r="D442" t="s">
        <v>869</v>
      </c>
    </row>
    <row r="443" spans="1:4">
      <c r="A443" t="s">
        <v>872</v>
      </c>
      <c r="B443" t="str">
        <f>SUBSTITUTE(SUBSTITUTE(SUBSTITUTE(SUBSTITUTE(SUBSTITUTE(WA_CDPs[[#This Row],[NAME]]," Tribal Community CDP, Washington","")," CDP, Washington","")," city, Washington","")," town, Washington","")," village, Washington","")</f>
        <v>Peaceful Valley</v>
      </c>
      <c r="C443" t="s">
        <v>1703</v>
      </c>
      <c r="D443" t="s">
        <v>871</v>
      </c>
    </row>
    <row r="444" spans="1:4">
      <c r="A444" t="s">
        <v>874</v>
      </c>
      <c r="B444" t="str">
        <f>SUBSTITUTE(SUBSTITUTE(SUBSTITUTE(SUBSTITUTE(SUBSTITUTE(WA_CDPs[[#This Row],[NAME]]," Tribal Community CDP, Washington","")," CDP, Washington","")," city, Washington","")," town, Washington","")," village, Washington","")</f>
        <v>Pe Ell</v>
      </c>
      <c r="C444" t="s">
        <v>1704</v>
      </c>
      <c r="D444" t="s">
        <v>873</v>
      </c>
    </row>
    <row r="445" spans="1:4">
      <c r="A445" t="s">
        <v>876</v>
      </c>
      <c r="B445" t="str">
        <f>SUBSTITUTE(SUBSTITUTE(SUBSTITUTE(SUBSTITUTE(SUBSTITUTE(WA_CDPs[[#This Row],[NAME]]," Tribal Community CDP, Washington","")," CDP, Washington","")," city, Washington","")," town, Washington","")," village, Washington","")</f>
        <v>Picnic Point</v>
      </c>
      <c r="C445" t="s">
        <v>1705</v>
      </c>
      <c r="D445" t="s">
        <v>875</v>
      </c>
    </row>
    <row r="446" spans="1:4">
      <c r="A446" t="s">
        <v>878</v>
      </c>
      <c r="B446" t="str">
        <f>SUBSTITUTE(SUBSTITUTE(SUBSTITUTE(SUBSTITUTE(SUBSTITUTE(WA_CDPs[[#This Row],[NAME]]," Tribal Community CDP, Washington","")," CDP, Washington","")," city, Washington","")," town, Washington","")," village, Washington","")</f>
        <v>Pine Grove</v>
      </c>
      <c r="C446" t="s">
        <v>1706</v>
      </c>
      <c r="D446" t="s">
        <v>877</v>
      </c>
    </row>
    <row r="447" spans="1:4">
      <c r="A447" t="s">
        <v>880</v>
      </c>
      <c r="B447" t="str">
        <f>SUBSTITUTE(SUBSTITUTE(SUBSTITUTE(SUBSTITUTE(SUBSTITUTE(WA_CDPs[[#This Row],[NAME]]," Tribal Community CDP, Washington","")," CDP, Washington","")," city, Washington","")," town, Washington","")," village, Washington","")</f>
        <v>Point Roberts</v>
      </c>
      <c r="C447" t="s">
        <v>1707</v>
      </c>
      <c r="D447" t="s">
        <v>879</v>
      </c>
    </row>
    <row r="448" spans="1:4">
      <c r="A448" t="s">
        <v>882</v>
      </c>
      <c r="B448" t="str">
        <f>SUBSTITUTE(SUBSTITUTE(SUBSTITUTE(SUBSTITUTE(SUBSTITUTE(WA_CDPs[[#This Row],[NAME]]," Tribal Community CDP, Washington","")," CDP, Washington","")," city, Washington","")," town, Washington","")," village, Washington","")</f>
        <v>Pomeroy</v>
      </c>
      <c r="C448" t="s">
        <v>1708</v>
      </c>
      <c r="D448" t="s">
        <v>881</v>
      </c>
    </row>
    <row r="449" spans="1:4">
      <c r="A449" t="s">
        <v>884</v>
      </c>
      <c r="B449" t="str">
        <f>SUBSTITUTE(SUBSTITUTE(SUBSTITUTE(SUBSTITUTE(SUBSTITUTE(WA_CDPs[[#This Row],[NAME]]," Tribal Community CDP, Washington","")," CDP, Washington","")," city, Washington","")," town, Washington","")," village, Washington","")</f>
        <v>Port Angeles</v>
      </c>
      <c r="C449" t="s">
        <v>1709</v>
      </c>
      <c r="D449" t="s">
        <v>883</v>
      </c>
    </row>
    <row r="450" spans="1:4">
      <c r="A450" t="s">
        <v>886</v>
      </c>
      <c r="B450" t="str">
        <f>SUBSTITUTE(SUBSTITUTE(SUBSTITUTE(SUBSTITUTE(SUBSTITUTE(WA_CDPs[[#This Row],[NAME]]," Tribal Community CDP, Washington","")," CDP, Washington","")," city, Washington","")," town, Washington","")," village, Washington","")</f>
        <v>Port Angeles East</v>
      </c>
      <c r="C450" t="s">
        <v>1710</v>
      </c>
      <c r="D450" t="s">
        <v>885</v>
      </c>
    </row>
    <row r="451" spans="1:4">
      <c r="A451" t="s">
        <v>888</v>
      </c>
      <c r="B451" t="str">
        <f>SUBSTITUTE(SUBSTITUTE(SUBSTITUTE(SUBSTITUTE(SUBSTITUTE(WA_CDPs[[#This Row],[NAME]]," Tribal Community CDP, Washington","")," CDP, Washington","")," city, Washington","")," town, Washington","")," village, Washington","")</f>
        <v>Porter</v>
      </c>
      <c r="C451" t="s">
        <v>1711</v>
      </c>
      <c r="D451" t="s">
        <v>887</v>
      </c>
    </row>
    <row r="452" spans="1:4">
      <c r="A452" t="s">
        <v>890</v>
      </c>
      <c r="B452" t="str">
        <f>SUBSTITUTE(SUBSTITUTE(SUBSTITUTE(SUBSTITUTE(SUBSTITUTE(WA_CDPs[[#This Row],[NAME]]," Tribal Community CDP, Washington","")," CDP, Washington","")," city, Washington","")," town, Washington","")," village, Washington","")</f>
        <v>Port Gamble</v>
      </c>
      <c r="C452" t="s">
        <v>1712</v>
      </c>
      <c r="D452" t="s">
        <v>889</v>
      </c>
    </row>
    <row r="453" spans="1:4">
      <c r="A453" t="s">
        <v>892</v>
      </c>
      <c r="B453" t="str">
        <f>SUBSTITUTE(SUBSTITUTE(SUBSTITUTE(SUBSTITUTE(SUBSTITUTE(WA_CDPs[[#This Row],[NAME]]," Tribal Community CDP, Washington","")," CDP, Washington","")," city, Washington","")," town, Washington","")," village, Washington","")</f>
        <v>Port Hadlock-Irondale</v>
      </c>
      <c r="C453" t="s">
        <v>1713</v>
      </c>
      <c r="D453" t="s">
        <v>891</v>
      </c>
    </row>
    <row r="454" spans="1:4">
      <c r="A454" t="s">
        <v>894</v>
      </c>
      <c r="B454" t="str">
        <f>SUBSTITUTE(SUBSTITUTE(SUBSTITUTE(SUBSTITUTE(SUBSTITUTE(WA_CDPs[[#This Row],[NAME]]," Tribal Community CDP, Washington","")," CDP, Washington","")," city, Washington","")," town, Washington","")," village, Washington","")</f>
        <v>Port Ludlow</v>
      </c>
      <c r="C454" t="s">
        <v>1714</v>
      </c>
      <c r="D454" t="s">
        <v>893</v>
      </c>
    </row>
    <row r="455" spans="1:4">
      <c r="A455" t="s">
        <v>896</v>
      </c>
      <c r="B455" t="str">
        <f>SUBSTITUTE(SUBSTITUTE(SUBSTITUTE(SUBSTITUTE(SUBSTITUTE(WA_CDPs[[#This Row],[NAME]]," Tribal Community CDP, Washington","")," CDP, Washington","")," city, Washington","")," town, Washington","")," village, Washington","")</f>
        <v>Port Orchard</v>
      </c>
      <c r="C455" t="s">
        <v>1715</v>
      </c>
      <c r="D455" t="s">
        <v>895</v>
      </c>
    </row>
    <row r="456" spans="1:4">
      <c r="A456" t="s">
        <v>898</v>
      </c>
      <c r="B456" t="str">
        <f>SUBSTITUTE(SUBSTITUTE(SUBSTITUTE(SUBSTITUTE(SUBSTITUTE(WA_CDPs[[#This Row],[NAME]]," Tribal Community CDP, Washington","")," CDP, Washington","")," city, Washington","")," town, Washington","")," village, Washington","")</f>
        <v>Port Townsend</v>
      </c>
      <c r="C456" t="s">
        <v>1716</v>
      </c>
      <c r="D456" t="s">
        <v>897</v>
      </c>
    </row>
    <row r="457" spans="1:4">
      <c r="A457" t="s">
        <v>900</v>
      </c>
      <c r="B457" t="str">
        <f>SUBSTITUTE(SUBSTITUTE(SUBSTITUTE(SUBSTITUTE(SUBSTITUTE(WA_CDPs[[#This Row],[NAME]]," Tribal Community CDP, Washington","")," CDP, Washington","")," city, Washington","")," town, Washington","")," village, Washington","")</f>
        <v>Poulsbo</v>
      </c>
      <c r="C457" t="s">
        <v>1717</v>
      </c>
      <c r="D457" t="s">
        <v>899</v>
      </c>
    </row>
    <row r="458" spans="1:4">
      <c r="A458" t="s">
        <v>902</v>
      </c>
      <c r="B458" t="str">
        <f>SUBSTITUTE(SUBSTITUTE(SUBSTITUTE(SUBSTITUTE(SUBSTITUTE(WA_CDPs[[#This Row],[NAME]]," Tribal Community CDP, Washington","")," CDP, Washington","")," city, Washington","")," town, Washington","")," village, Washington","")</f>
        <v>Prairie Heights</v>
      </c>
      <c r="C458" t="s">
        <v>1718</v>
      </c>
      <c r="D458" t="s">
        <v>901</v>
      </c>
    </row>
    <row r="459" spans="1:4">
      <c r="A459" t="s">
        <v>904</v>
      </c>
      <c r="B459" t="str">
        <f>SUBSTITUTE(SUBSTITUTE(SUBSTITUTE(SUBSTITUTE(SUBSTITUTE(WA_CDPs[[#This Row],[NAME]]," Tribal Community CDP, Washington","")," CDP, Washington","")," city, Washington","")," town, Washington","")," village, Washington","")</f>
        <v>Prairie Ridge</v>
      </c>
      <c r="C459" t="s">
        <v>1719</v>
      </c>
      <c r="D459" t="s">
        <v>903</v>
      </c>
    </row>
    <row r="460" spans="1:4">
      <c r="A460" t="s">
        <v>906</v>
      </c>
      <c r="B460" t="str">
        <f>SUBSTITUTE(SUBSTITUTE(SUBSTITUTE(SUBSTITUTE(SUBSTITUTE(WA_CDPs[[#This Row],[NAME]]," Tribal Community CDP, Washington","")," CDP, Washington","")," city, Washington","")," town, Washington","")," village, Washington","")</f>
        <v>Prescott</v>
      </c>
      <c r="C460" t="s">
        <v>1720</v>
      </c>
      <c r="D460" t="s">
        <v>905</v>
      </c>
    </row>
    <row r="461" spans="1:4">
      <c r="A461" t="s">
        <v>908</v>
      </c>
      <c r="B461" t="str">
        <f>SUBSTITUTE(SUBSTITUTE(SUBSTITUTE(SUBSTITUTE(SUBSTITUTE(WA_CDPs[[#This Row],[NAME]]," Tribal Community CDP, Washington","")," CDP, Washington","")," city, Washington","")," town, Washington","")," village, Washington","")</f>
        <v>Prosser</v>
      </c>
      <c r="C461" t="s">
        <v>1721</v>
      </c>
      <c r="D461" t="s">
        <v>907</v>
      </c>
    </row>
    <row r="462" spans="1:4">
      <c r="A462" t="s">
        <v>910</v>
      </c>
      <c r="B462" t="str">
        <f>SUBSTITUTE(SUBSTITUTE(SUBSTITUTE(SUBSTITUTE(SUBSTITUTE(WA_CDPs[[#This Row],[NAME]]," Tribal Community CDP, Washington","")," CDP, Washington","")," city, Washington","")," town, Washington","")," village, Washington","")</f>
        <v>Puget Island</v>
      </c>
      <c r="C462" t="s">
        <v>1722</v>
      </c>
      <c r="D462" t="s">
        <v>909</v>
      </c>
    </row>
    <row r="463" spans="1:4">
      <c r="A463" t="s">
        <v>912</v>
      </c>
      <c r="B463" t="str">
        <f>SUBSTITUTE(SUBSTITUTE(SUBSTITUTE(SUBSTITUTE(SUBSTITUTE(WA_CDPs[[#This Row],[NAME]]," Tribal Community CDP, Washington","")," CDP, Washington","")," city, Washington","")," town, Washington","")," village, Washington","")</f>
        <v>Pullman</v>
      </c>
      <c r="C463" t="s">
        <v>1723</v>
      </c>
      <c r="D463" t="s">
        <v>911</v>
      </c>
    </row>
    <row r="464" spans="1:4">
      <c r="A464" t="s">
        <v>914</v>
      </c>
      <c r="B464" t="str">
        <f>SUBSTITUTE(SUBSTITUTE(SUBSTITUTE(SUBSTITUTE(SUBSTITUTE(WA_CDPs[[#This Row],[NAME]]," Tribal Community CDP, Washington","")," CDP, Washington","")," city, Washington","")," town, Washington","")," village, Washington","")</f>
        <v>Purdy</v>
      </c>
      <c r="C464" t="s">
        <v>1724</v>
      </c>
      <c r="D464" t="s">
        <v>913</v>
      </c>
    </row>
    <row r="465" spans="1:4">
      <c r="A465" t="s">
        <v>916</v>
      </c>
      <c r="B465" t="str">
        <f>SUBSTITUTE(SUBSTITUTE(SUBSTITUTE(SUBSTITUTE(SUBSTITUTE(WA_CDPs[[#This Row],[NAME]]," Tribal Community CDP, Washington","")," CDP, Washington","")," city, Washington","")," town, Washington","")," village, Washington","")</f>
        <v>Puyallup</v>
      </c>
      <c r="C465" t="s">
        <v>1725</v>
      </c>
      <c r="D465" t="s">
        <v>915</v>
      </c>
    </row>
    <row r="466" spans="1:4">
      <c r="A466" t="s">
        <v>918</v>
      </c>
      <c r="B466" t="str">
        <f>SUBSTITUTE(SUBSTITUTE(SUBSTITUTE(SUBSTITUTE(SUBSTITUTE(WA_CDPs[[#This Row],[NAME]]," Tribal Community CDP, Washington","")," CDP, Washington","")," city, Washington","")," town, Washington","")," village, Washington","")</f>
        <v>Queets</v>
      </c>
      <c r="C466" t="s">
        <v>1726</v>
      </c>
      <c r="D466" t="s">
        <v>917</v>
      </c>
    </row>
    <row r="467" spans="1:4">
      <c r="A467" t="s">
        <v>920</v>
      </c>
      <c r="B467" t="str">
        <f>SUBSTITUTE(SUBSTITUTE(SUBSTITUTE(SUBSTITUTE(SUBSTITUTE(WA_CDPs[[#This Row],[NAME]]," Tribal Community CDP, Washington","")," CDP, Washington","")," city, Washington","")," town, Washington","")," village, Washington","")</f>
        <v>Quilcene</v>
      </c>
      <c r="C467" t="s">
        <v>1727</v>
      </c>
      <c r="D467" t="s">
        <v>919</v>
      </c>
    </row>
    <row r="468" spans="1:4">
      <c r="A468" t="s">
        <v>922</v>
      </c>
      <c r="B468" t="str">
        <f>SUBSTITUTE(SUBSTITUTE(SUBSTITUTE(SUBSTITUTE(SUBSTITUTE(WA_CDPs[[#This Row],[NAME]]," Tribal Community CDP, Washington","")," CDP, Washington","")," city, Washington","")," town, Washington","")," village, Washington","")</f>
        <v>Qui-nai-elt Village</v>
      </c>
      <c r="C468" t="s">
        <v>1728</v>
      </c>
      <c r="D468" t="s">
        <v>921</v>
      </c>
    </row>
    <row r="469" spans="1:4">
      <c r="A469" t="s">
        <v>924</v>
      </c>
      <c r="B469" t="str">
        <f>SUBSTITUTE(SUBSTITUTE(SUBSTITUTE(SUBSTITUTE(SUBSTITUTE(WA_CDPs[[#This Row],[NAME]]," Tribal Community CDP, Washington","")," CDP, Washington","")," city, Washington","")," town, Washington","")," village, Washington","")</f>
        <v>Quincy</v>
      </c>
      <c r="C469" t="s">
        <v>1729</v>
      </c>
      <c r="D469" t="s">
        <v>923</v>
      </c>
    </row>
    <row r="470" spans="1:4">
      <c r="A470" t="s">
        <v>926</v>
      </c>
      <c r="B470" t="str">
        <f>SUBSTITUTE(SUBSTITUTE(SUBSTITUTE(SUBSTITUTE(SUBSTITUTE(WA_CDPs[[#This Row],[NAME]]," Tribal Community CDP, Washington","")," CDP, Washington","")," city, Washington","")," town, Washington","")," village, Washington","")</f>
        <v>Raft Island</v>
      </c>
      <c r="C470" t="s">
        <v>1730</v>
      </c>
      <c r="D470" t="s">
        <v>925</v>
      </c>
    </row>
    <row r="471" spans="1:4">
      <c r="A471" t="s">
        <v>928</v>
      </c>
      <c r="B471" t="str">
        <f>SUBSTITUTE(SUBSTITUTE(SUBSTITUTE(SUBSTITUTE(SUBSTITUTE(WA_CDPs[[#This Row],[NAME]]," Tribal Community CDP, Washington","")," CDP, Washington","")," city, Washington","")," town, Washington","")," village, Washington","")</f>
        <v>Rainier</v>
      </c>
      <c r="C471" t="s">
        <v>1731</v>
      </c>
      <c r="D471" t="s">
        <v>927</v>
      </c>
    </row>
    <row r="472" spans="1:4">
      <c r="A472" t="s">
        <v>930</v>
      </c>
      <c r="B472" t="str">
        <f>SUBSTITUTE(SUBSTITUTE(SUBSTITUTE(SUBSTITUTE(SUBSTITUTE(WA_CDPs[[#This Row],[NAME]]," Tribal Community CDP, Washington","")," CDP, Washington","")," city, Washington","")," town, Washington","")," village, Washington","")</f>
        <v>Ravensdale</v>
      </c>
      <c r="C472" t="s">
        <v>1732</v>
      </c>
      <c r="D472" t="s">
        <v>929</v>
      </c>
    </row>
    <row r="473" spans="1:4">
      <c r="A473" t="s">
        <v>932</v>
      </c>
      <c r="B473" t="str">
        <f>SUBSTITUTE(SUBSTITUTE(SUBSTITUTE(SUBSTITUTE(SUBSTITUTE(WA_CDPs[[#This Row],[NAME]]," Tribal Community CDP, Washington","")," CDP, Washington","")," city, Washington","")," town, Washington","")," village, Washington","")</f>
        <v>Raymond</v>
      </c>
      <c r="C473" t="s">
        <v>1733</v>
      </c>
      <c r="D473" t="s">
        <v>931</v>
      </c>
    </row>
    <row r="474" spans="1:4">
      <c r="A474" t="s">
        <v>934</v>
      </c>
      <c r="B474" t="str">
        <f>SUBSTITUTE(SUBSTITUTE(SUBSTITUTE(SUBSTITUTE(SUBSTITUTE(WA_CDPs[[#This Row],[NAME]]," Tribal Community CDP, Washington","")," CDP, Washington","")," city, Washington","")," town, Washington","")," village, Washington","")</f>
        <v>Reardan</v>
      </c>
      <c r="C474" t="s">
        <v>1734</v>
      </c>
      <c r="D474" t="s">
        <v>933</v>
      </c>
    </row>
    <row r="475" spans="1:4">
      <c r="A475" t="s">
        <v>936</v>
      </c>
      <c r="B475" t="str">
        <f>SUBSTITUTE(SUBSTITUTE(SUBSTITUTE(SUBSTITUTE(SUBSTITUTE(WA_CDPs[[#This Row],[NAME]]," Tribal Community CDP, Washington","")," CDP, Washington","")," city, Washington","")," town, Washington","")," village, Washington","")</f>
        <v>Redmond</v>
      </c>
      <c r="C475" t="s">
        <v>1735</v>
      </c>
      <c r="D475" t="s">
        <v>935</v>
      </c>
    </row>
    <row r="476" spans="1:4">
      <c r="A476" t="s">
        <v>938</v>
      </c>
      <c r="B476" t="str">
        <f>SUBSTITUTE(SUBSTITUTE(SUBSTITUTE(SUBSTITUTE(SUBSTITUTE(WA_CDPs[[#This Row],[NAME]]," Tribal Community CDP, Washington","")," CDP, Washington","")," city, Washington","")," town, Washington","")," village, Washington","")</f>
        <v>Renton</v>
      </c>
      <c r="C476" t="s">
        <v>1736</v>
      </c>
      <c r="D476" t="s">
        <v>937</v>
      </c>
    </row>
    <row r="477" spans="1:4">
      <c r="A477" t="s">
        <v>940</v>
      </c>
      <c r="B477" t="str">
        <f>SUBSTITUTE(SUBSTITUTE(SUBSTITUTE(SUBSTITUTE(SUBSTITUTE(WA_CDPs[[#This Row],[NAME]]," Tribal Community CDP, Washington","")," CDP, Washington","")," city, Washington","")," town, Washington","")," village, Washington","")</f>
        <v>Republic</v>
      </c>
      <c r="C477" t="s">
        <v>1737</v>
      </c>
      <c r="D477" t="s">
        <v>939</v>
      </c>
    </row>
    <row r="478" spans="1:4">
      <c r="A478" t="s">
        <v>942</v>
      </c>
      <c r="B478" t="str">
        <f>SUBSTITUTE(SUBSTITUTE(SUBSTITUTE(SUBSTITUTE(SUBSTITUTE(WA_CDPs[[#This Row],[NAME]]," Tribal Community CDP, Washington","")," CDP, Washington","")," city, Washington","")," town, Washington","")," village, Washington","")</f>
        <v>Richland</v>
      </c>
      <c r="C478" t="s">
        <v>1738</v>
      </c>
      <c r="D478" t="s">
        <v>941</v>
      </c>
    </row>
    <row r="479" spans="1:4">
      <c r="A479" t="s">
        <v>944</v>
      </c>
      <c r="B479" t="str">
        <f>SUBSTITUTE(SUBSTITUTE(SUBSTITUTE(SUBSTITUTE(SUBSTITUTE(WA_CDPs[[#This Row],[NAME]]," Tribal Community CDP, Washington","")," CDP, Washington","")," city, Washington","")," town, Washington","")," village, Washington","")</f>
        <v>Ridgefield</v>
      </c>
      <c r="C479" t="s">
        <v>1739</v>
      </c>
      <c r="D479" t="s">
        <v>943</v>
      </c>
    </row>
    <row r="480" spans="1:4">
      <c r="A480" t="s">
        <v>946</v>
      </c>
      <c r="B480" t="str">
        <f>SUBSTITUTE(SUBSTITUTE(SUBSTITUTE(SUBSTITUTE(SUBSTITUTE(WA_CDPs[[#This Row],[NAME]]," Tribal Community CDP, Washington","")," CDP, Washington","")," city, Washington","")," town, Washington","")," village, Washington","")</f>
        <v>Ritzville</v>
      </c>
      <c r="C480" t="s">
        <v>1740</v>
      </c>
      <c r="D480" t="s">
        <v>945</v>
      </c>
    </row>
    <row r="481" spans="1:4">
      <c r="A481" t="s">
        <v>948</v>
      </c>
      <c r="B481" t="str">
        <f>SUBSTITUTE(SUBSTITUTE(SUBSTITUTE(SUBSTITUTE(SUBSTITUTE(WA_CDPs[[#This Row],[NAME]]," Tribal Community CDP, Washington","")," CDP, Washington","")," city, Washington","")," town, Washington","")," village, Washington","")</f>
        <v>Riverbend</v>
      </c>
      <c r="C481" t="s">
        <v>1741</v>
      </c>
      <c r="D481" t="s">
        <v>947</v>
      </c>
    </row>
    <row r="482" spans="1:4">
      <c r="A482" t="s">
        <v>2454</v>
      </c>
      <c r="B482" t="str">
        <f>SUBSTITUTE(SUBSTITUTE(SUBSTITUTE(SUBSTITUTE(SUBSTITUTE(WA_CDPs[[#This Row],[NAME]]," Tribal Community CDP, Washington","")," CDP, Washington","")," city, Washington","")," town, Washington","")," village, Washington","")</f>
        <v>Riverpoint</v>
      </c>
      <c r="C482" t="s">
        <v>2453</v>
      </c>
      <c r="D482" t="e">
        <v>#N/A</v>
      </c>
    </row>
    <row r="483" spans="1:4">
      <c r="A483" t="s">
        <v>950</v>
      </c>
      <c r="B483" t="str">
        <f>SUBSTITUTE(SUBSTITUTE(SUBSTITUTE(SUBSTITUTE(SUBSTITUTE(WA_CDPs[[#This Row],[NAME]]," Tribal Community CDP, Washington","")," CDP, Washington","")," city, Washington","")," town, Washington","")," village, Washington","")</f>
        <v>River Road</v>
      </c>
      <c r="C483" t="s">
        <v>1742</v>
      </c>
      <c r="D483" t="s">
        <v>949</v>
      </c>
    </row>
    <row r="484" spans="1:4">
      <c r="A484" t="s">
        <v>952</v>
      </c>
      <c r="B484" t="str">
        <f>SUBSTITUTE(SUBSTITUTE(SUBSTITUTE(SUBSTITUTE(SUBSTITUTE(WA_CDPs[[#This Row],[NAME]]," Tribal Community CDP, Washington","")," CDP, Washington","")," city, Washington","")," town, Washington","")," village, Washington","")</f>
        <v>Riverside</v>
      </c>
      <c r="C484" t="s">
        <v>1743</v>
      </c>
      <c r="D484" t="s">
        <v>951</v>
      </c>
    </row>
    <row r="485" spans="1:4">
      <c r="A485" t="s">
        <v>2456</v>
      </c>
      <c r="B485" t="str">
        <f>SUBSTITUTE(SUBSTITUTE(SUBSTITUTE(SUBSTITUTE(SUBSTITUTE(WA_CDPs[[#This Row],[NAME]]," Tribal Community CDP, Washington","")," CDP, Washington","")," city, Washington","")," town, Washington","")," village, Washington","")</f>
        <v>Roche Harbor</v>
      </c>
      <c r="C485" t="s">
        <v>2455</v>
      </c>
      <c r="D485" t="e">
        <v>#N/A</v>
      </c>
    </row>
    <row r="486" spans="1:4">
      <c r="A486" t="s">
        <v>954</v>
      </c>
      <c r="B486" t="str">
        <f>SUBSTITUTE(SUBSTITUTE(SUBSTITUTE(SUBSTITUTE(SUBSTITUTE(WA_CDPs[[#This Row],[NAME]]," Tribal Community CDP, Washington","")," CDP, Washington","")," city, Washington","")," town, Washington","")," village, Washington","")</f>
        <v>Rochester</v>
      </c>
      <c r="C486" t="s">
        <v>1744</v>
      </c>
      <c r="D486" t="s">
        <v>953</v>
      </c>
    </row>
    <row r="487" spans="1:4">
      <c r="A487" t="s">
        <v>956</v>
      </c>
      <c r="B487" t="str">
        <f>SUBSTITUTE(SUBSTITUTE(SUBSTITUTE(SUBSTITUTE(SUBSTITUTE(WA_CDPs[[#This Row],[NAME]]," Tribal Community CDP, Washington","")," CDP, Washington","")," city, Washington","")," town, Washington","")," village, Washington","")</f>
        <v>Rockford</v>
      </c>
      <c r="C487" t="s">
        <v>1745</v>
      </c>
      <c r="D487" t="s">
        <v>955</v>
      </c>
    </row>
    <row r="488" spans="1:4">
      <c r="A488" t="s">
        <v>958</v>
      </c>
      <c r="B488" t="str">
        <f>SUBSTITUTE(SUBSTITUTE(SUBSTITUTE(SUBSTITUTE(SUBSTITUTE(WA_CDPs[[#This Row],[NAME]]," Tribal Community CDP, Washington","")," CDP, Washington","")," city, Washington","")," town, Washington","")," village, Washington","")</f>
        <v>Rock Island</v>
      </c>
      <c r="C488" t="s">
        <v>1746</v>
      </c>
      <c r="D488" t="s">
        <v>957</v>
      </c>
    </row>
    <row r="489" spans="1:4">
      <c r="A489" t="s">
        <v>960</v>
      </c>
      <c r="B489" t="str">
        <f>SUBSTITUTE(SUBSTITUTE(SUBSTITUTE(SUBSTITUTE(SUBSTITUTE(WA_CDPs[[#This Row],[NAME]]," Tribal Community CDP, Washington","")," CDP, Washington","")," city, Washington","")," town, Washington","")," village, Washington","")</f>
        <v>Rockport</v>
      </c>
      <c r="C489" t="s">
        <v>1747</v>
      </c>
      <c r="D489" t="s">
        <v>959</v>
      </c>
    </row>
    <row r="490" spans="1:4">
      <c r="A490" t="s">
        <v>962</v>
      </c>
      <c r="B490" t="str">
        <f>SUBSTITUTE(SUBSTITUTE(SUBSTITUTE(SUBSTITUTE(SUBSTITUTE(WA_CDPs[[#This Row],[NAME]]," Tribal Community CDP, Washington","")," CDP, Washington","")," city, Washington","")," town, Washington","")," village, Washington","")</f>
        <v>Rocky Point</v>
      </c>
      <c r="C490" t="s">
        <v>1748</v>
      </c>
      <c r="D490" t="s">
        <v>961</v>
      </c>
    </row>
    <row r="491" spans="1:4">
      <c r="A491" t="s">
        <v>964</v>
      </c>
      <c r="B491" t="str">
        <f>SUBSTITUTE(SUBSTITUTE(SUBSTITUTE(SUBSTITUTE(SUBSTITUTE(WA_CDPs[[#This Row],[NAME]]," Tribal Community CDP, Washington","")," CDP, Washington","")," city, Washington","")," town, Washington","")," village, Washington","")</f>
        <v>Ronald</v>
      </c>
      <c r="C491" t="s">
        <v>1749</v>
      </c>
      <c r="D491" t="s">
        <v>963</v>
      </c>
    </row>
    <row r="492" spans="1:4">
      <c r="A492" t="s">
        <v>966</v>
      </c>
      <c r="B492" t="str">
        <f>SUBSTITUTE(SUBSTITUTE(SUBSTITUTE(SUBSTITUTE(SUBSTITUTE(WA_CDPs[[#This Row],[NAME]]," Tribal Community CDP, Washington","")," CDP, Washington","")," city, Washington","")," town, Washington","")," village, Washington","")</f>
        <v>Roosevelt</v>
      </c>
      <c r="C492" t="s">
        <v>1750</v>
      </c>
      <c r="D492" t="s">
        <v>965</v>
      </c>
    </row>
    <row r="493" spans="1:4">
      <c r="A493" t="s">
        <v>968</v>
      </c>
      <c r="B493" t="str">
        <f>SUBSTITUTE(SUBSTITUTE(SUBSTITUTE(SUBSTITUTE(SUBSTITUTE(WA_CDPs[[#This Row],[NAME]]," Tribal Community CDP, Washington","")," CDP, Washington","")," city, Washington","")," town, Washington","")," village, Washington","")</f>
        <v>Rosalia</v>
      </c>
      <c r="C493" t="s">
        <v>1751</v>
      </c>
      <c r="D493" t="s">
        <v>967</v>
      </c>
    </row>
    <row r="494" spans="1:4">
      <c r="A494" t="s">
        <v>970</v>
      </c>
      <c r="B494" t="str">
        <f>SUBSTITUTE(SUBSTITUTE(SUBSTITUTE(SUBSTITUTE(SUBSTITUTE(WA_CDPs[[#This Row],[NAME]]," Tribal Community CDP, Washington","")," CDP, Washington","")," city, Washington","")," town, Washington","")," village, Washington","")</f>
        <v>Rosburg</v>
      </c>
      <c r="C494" t="s">
        <v>1752</v>
      </c>
      <c r="D494" t="s">
        <v>969</v>
      </c>
    </row>
    <row r="495" spans="1:4">
      <c r="A495" t="s">
        <v>972</v>
      </c>
      <c r="B495" t="str">
        <f>SUBSTITUTE(SUBSTITUTE(SUBSTITUTE(SUBSTITUTE(SUBSTITUTE(WA_CDPs[[#This Row],[NAME]]," Tribal Community CDP, Washington","")," CDP, Washington","")," city, Washington","")," town, Washington","")," village, Washington","")</f>
        <v>Rosedale</v>
      </c>
      <c r="C495" t="s">
        <v>1753</v>
      </c>
      <c r="D495" t="s">
        <v>971</v>
      </c>
    </row>
    <row r="496" spans="1:4">
      <c r="A496" t="s">
        <v>974</v>
      </c>
      <c r="B496" t="str">
        <f>SUBSTITUTE(SUBSTITUTE(SUBSTITUTE(SUBSTITUTE(SUBSTITUTE(WA_CDPs[[#This Row],[NAME]]," Tribal Community CDP, Washington","")," CDP, Washington","")," city, Washington","")," town, Washington","")," village, Washington","")</f>
        <v>Roslyn</v>
      </c>
      <c r="C496" t="s">
        <v>1754</v>
      </c>
      <c r="D496" t="s">
        <v>973</v>
      </c>
    </row>
    <row r="497" spans="1:4">
      <c r="A497" t="s">
        <v>976</v>
      </c>
      <c r="B497" t="str">
        <f>SUBSTITUTE(SUBSTITUTE(SUBSTITUTE(SUBSTITUTE(SUBSTITUTE(WA_CDPs[[#This Row],[NAME]]," Tribal Community CDP, Washington","")," CDP, Washington","")," city, Washington","")," town, Washington","")," village, Washington","")</f>
        <v>Roy</v>
      </c>
      <c r="C497" t="s">
        <v>1755</v>
      </c>
      <c r="D497" t="s">
        <v>975</v>
      </c>
    </row>
    <row r="498" spans="1:4">
      <c r="A498" t="s">
        <v>978</v>
      </c>
      <c r="B498" t="str">
        <f>SUBSTITUTE(SUBSTITUTE(SUBSTITUTE(SUBSTITUTE(SUBSTITUTE(WA_CDPs[[#This Row],[NAME]]," Tribal Community CDP, Washington","")," CDP, Washington","")," city, Washington","")," town, Washington","")," village, Washington","")</f>
        <v>Royal City</v>
      </c>
      <c r="C498" t="s">
        <v>1756</v>
      </c>
      <c r="D498" t="s">
        <v>977</v>
      </c>
    </row>
    <row r="499" spans="1:4">
      <c r="A499" t="s">
        <v>980</v>
      </c>
      <c r="B499" t="str">
        <f>SUBSTITUTE(SUBSTITUTE(SUBSTITUTE(SUBSTITUTE(SUBSTITUTE(WA_CDPs[[#This Row],[NAME]]," Tribal Community CDP, Washington","")," CDP, Washington","")," city, Washington","")," town, Washington","")," village, Washington","")</f>
        <v>Ruston</v>
      </c>
      <c r="C499" t="s">
        <v>1757</v>
      </c>
      <c r="D499" t="s">
        <v>979</v>
      </c>
    </row>
    <row r="500" spans="1:4">
      <c r="A500" t="s">
        <v>982</v>
      </c>
      <c r="B500" t="str">
        <f>SUBSTITUTE(SUBSTITUTE(SUBSTITUTE(SUBSTITUTE(SUBSTITUTE(WA_CDPs[[#This Row],[NAME]]," Tribal Community CDP, Washington","")," CDP, Washington","")," city, Washington","")," town, Washington","")," village, Washington","")</f>
        <v>Ryderwood</v>
      </c>
      <c r="C500" t="s">
        <v>1758</v>
      </c>
      <c r="D500" t="s">
        <v>981</v>
      </c>
    </row>
    <row r="501" spans="1:4">
      <c r="A501" t="s">
        <v>984</v>
      </c>
      <c r="B501" t="str">
        <f>SUBSTITUTE(SUBSTITUTE(SUBSTITUTE(SUBSTITUTE(SUBSTITUTE(WA_CDPs[[#This Row],[NAME]]," Tribal Community CDP, Washington","")," CDP, Washington","")," city, Washington","")," town, Washington","")," village, Washington","")</f>
        <v>St. John</v>
      </c>
      <c r="C501" t="s">
        <v>1759</v>
      </c>
      <c r="D501" t="s">
        <v>983</v>
      </c>
    </row>
    <row r="502" spans="1:4">
      <c r="A502" t="s">
        <v>986</v>
      </c>
      <c r="B502" t="str">
        <f>SUBSTITUTE(SUBSTITUTE(SUBSTITUTE(SUBSTITUTE(SUBSTITUTE(WA_CDPs[[#This Row],[NAME]]," Tribal Community CDP, Washington","")," CDP, Washington","")," city, Washington","")," town, Washington","")," village, Washington","")</f>
        <v>Salmon Creek</v>
      </c>
      <c r="C502" t="s">
        <v>1760</v>
      </c>
      <c r="D502" t="s">
        <v>985</v>
      </c>
    </row>
    <row r="503" spans="1:4">
      <c r="A503" t="s">
        <v>988</v>
      </c>
      <c r="B503" t="str">
        <f>SUBSTITUTE(SUBSTITUTE(SUBSTITUTE(SUBSTITUTE(SUBSTITUTE(WA_CDPs[[#This Row],[NAME]]," Tribal Community CDP, Washington","")," CDP, Washington","")," city, Washington","")," town, Washington","")," village, Washington","")</f>
        <v>Sammamish</v>
      </c>
      <c r="C503" t="s">
        <v>1761</v>
      </c>
      <c r="D503" t="s">
        <v>987</v>
      </c>
    </row>
    <row r="504" spans="1:4">
      <c r="A504" t="s">
        <v>990</v>
      </c>
      <c r="B504" t="str">
        <f>SUBSTITUTE(SUBSTITUTE(SUBSTITUTE(SUBSTITUTE(SUBSTITUTE(WA_CDPs[[#This Row],[NAME]]," Tribal Community CDP, Washington","")," CDP, Washington","")," city, Washington","")," town, Washington","")," village, Washington","")</f>
        <v>Santiago</v>
      </c>
      <c r="C504" t="s">
        <v>1762</v>
      </c>
      <c r="D504" t="s">
        <v>989</v>
      </c>
    </row>
    <row r="505" spans="1:4">
      <c r="A505" t="s">
        <v>992</v>
      </c>
      <c r="B505" t="str">
        <f>SUBSTITUTE(SUBSTITUTE(SUBSTITUTE(SUBSTITUTE(SUBSTITUTE(WA_CDPs[[#This Row],[NAME]]," Tribal Community CDP, Washington","")," CDP, Washington","")," city, Washington","")," town, Washington","")," village, Washington","")</f>
        <v>Satsop</v>
      </c>
      <c r="C505" t="s">
        <v>1763</v>
      </c>
      <c r="D505" t="s">
        <v>991</v>
      </c>
    </row>
    <row r="506" spans="1:4">
      <c r="A506" t="s">
        <v>2458</v>
      </c>
      <c r="B506" t="str">
        <f>SUBSTITUTE(SUBSTITUTE(SUBSTITUTE(SUBSTITUTE(SUBSTITUTE(WA_CDPs[[#This Row],[NAME]]," Tribal Community CDP, Washington","")," CDP, Washington","")," city, Washington","")," town, Washington","")," village, Washington","")</f>
        <v>Schwana</v>
      </c>
      <c r="C506" t="s">
        <v>2457</v>
      </c>
      <c r="D506" t="e">
        <v>#N/A</v>
      </c>
    </row>
    <row r="507" spans="1:4">
      <c r="A507" t="s">
        <v>994</v>
      </c>
      <c r="B507" t="str">
        <f>SUBSTITUTE(SUBSTITUTE(SUBSTITUTE(SUBSTITUTE(SUBSTITUTE(WA_CDPs[[#This Row],[NAME]]," Tribal Community CDP, Washington","")," CDP, Washington","")," city, Washington","")," town, Washington","")," village, Washington","")</f>
        <v>Seabeck</v>
      </c>
      <c r="C507" t="s">
        <v>1764</v>
      </c>
      <c r="D507" t="s">
        <v>993</v>
      </c>
    </row>
    <row r="508" spans="1:4">
      <c r="A508" t="s">
        <v>996</v>
      </c>
      <c r="B508" t="str">
        <f>SUBSTITUTE(SUBSTITUTE(SUBSTITUTE(SUBSTITUTE(SUBSTITUTE(WA_CDPs[[#This Row],[NAME]]," Tribal Community CDP, Washington","")," CDP, Washington","")," city, Washington","")," town, Washington","")," village, Washington","")</f>
        <v>SeaTac</v>
      </c>
      <c r="C508" t="s">
        <v>1765</v>
      </c>
      <c r="D508" t="s">
        <v>995</v>
      </c>
    </row>
    <row r="509" spans="1:4">
      <c r="A509" t="s">
        <v>998</v>
      </c>
      <c r="B509" t="str">
        <f>SUBSTITUTE(SUBSTITUTE(SUBSTITUTE(SUBSTITUTE(SUBSTITUTE(WA_CDPs[[#This Row],[NAME]]," Tribal Community CDP, Washington","")," CDP, Washington","")," city, Washington","")," town, Washington","")," village, Washington","")</f>
        <v>Seattle</v>
      </c>
      <c r="C509" t="s">
        <v>1766</v>
      </c>
      <c r="D509" t="s">
        <v>997</v>
      </c>
    </row>
    <row r="510" spans="1:4">
      <c r="A510" t="s">
        <v>1000</v>
      </c>
      <c r="B510" t="str">
        <f>SUBSTITUTE(SUBSTITUTE(SUBSTITUTE(SUBSTITUTE(SUBSTITUTE(WA_CDPs[[#This Row],[NAME]]," Tribal Community CDP, Washington","")," CDP, Washington","")," city, Washington","")," town, Washington","")," village, Washington","")</f>
        <v>Sedro-Woolley</v>
      </c>
      <c r="C510" t="s">
        <v>1767</v>
      </c>
      <c r="D510" t="s">
        <v>999</v>
      </c>
    </row>
    <row r="511" spans="1:4">
      <c r="A511" t="s">
        <v>1002</v>
      </c>
      <c r="B511" t="str">
        <f>SUBSTITUTE(SUBSTITUTE(SUBSTITUTE(SUBSTITUTE(SUBSTITUTE(WA_CDPs[[#This Row],[NAME]]," Tribal Community CDP, Washington","")," CDP, Washington","")," city, Washington","")," town, Washington","")," village, Washington","")</f>
        <v>Sekiu</v>
      </c>
      <c r="C511" t="s">
        <v>1768</v>
      </c>
      <c r="D511" t="s">
        <v>1001</v>
      </c>
    </row>
    <row r="512" spans="1:4">
      <c r="A512" t="s">
        <v>1004</v>
      </c>
      <c r="B512" t="str">
        <f>SUBSTITUTE(SUBSTITUTE(SUBSTITUTE(SUBSTITUTE(SUBSTITUTE(WA_CDPs[[#This Row],[NAME]]," Tribal Community CDP, Washington","")," CDP, Washington","")," city, Washington","")," town, Washington","")," village, Washington","")</f>
        <v>Selah</v>
      </c>
      <c r="C512" t="s">
        <v>1769</v>
      </c>
      <c r="D512" t="s">
        <v>1003</v>
      </c>
    </row>
    <row r="513" spans="1:4">
      <c r="A513" t="s">
        <v>1006</v>
      </c>
      <c r="B513" t="str">
        <f>SUBSTITUTE(SUBSTITUTE(SUBSTITUTE(SUBSTITUTE(SUBSTITUTE(WA_CDPs[[#This Row],[NAME]]," Tribal Community CDP, Washington","")," CDP, Washington","")," city, Washington","")," town, Washington","")," village, Washington","")</f>
        <v>Sequim</v>
      </c>
      <c r="C513" t="s">
        <v>1770</v>
      </c>
      <c r="D513" t="s">
        <v>1005</v>
      </c>
    </row>
    <row r="514" spans="1:4">
      <c r="A514" t="s">
        <v>1008</v>
      </c>
      <c r="B514" t="str">
        <f>SUBSTITUTE(SUBSTITUTE(SUBSTITUTE(SUBSTITUTE(SUBSTITUTE(WA_CDPs[[#This Row],[NAME]]," Tribal Community CDP, Washington","")," CDP, Washington","")," city, Washington","")," town, Washington","")," village, Washington","")</f>
        <v>Shadow Lake</v>
      </c>
      <c r="C514" t="s">
        <v>1771</v>
      </c>
      <c r="D514" t="s">
        <v>1007</v>
      </c>
    </row>
    <row r="515" spans="1:4">
      <c r="A515" t="s">
        <v>1010</v>
      </c>
      <c r="B515" t="str">
        <f>SUBSTITUTE(SUBSTITUTE(SUBSTITUTE(SUBSTITUTE(SUBSTITUTE(WA_CDPs[[#This Row],[NAME]]," Tribal Community CDP, Washington","")," CDP, Washington","")," city, Washington","")," town, Washington","")," village, Washington","")</f>
        <v>Shelton</v>
      </c>
      <c r="C515" t="s">
        <v>1772</v>
      </c>
      <c r="D515" t="s">
        <v>1009</v>
      </c>
    </row>
    <row r="516" spans="1:4">
      <c r="A516" t="s">
        <v>1012</v>
      </c>
      <c r="B516" t="str">
        <f>SUBSTITUTE(SUBSTITUTE(SUBSTITUTE(SUBSTITUTE(SUBSTITUTE(WA_CDPs[[#This Row],[NAME]]," Tribal Community CDP, Washington","")," CDP, Washington","")," city, Washington","")," town, Washington","")," village, Washington","")</f>
        <v>Shoreline</v>
      </c>
      <c r="C516" t="s">
        <v>1773</v>
      </c>
      <c r="D516" t="s">
        <v>1011</v>
      </c>
    </row>
    <row r="517" spans="1:4">
      <c r="A517" t="s">
        <v>1014</v>
      </c>
      <c r="B517" t="str">
        <f>SUBSTITUTE(SUBSTITUTE(SUBSTITUTE(SUBSTITUTE(SUBSTITUTE(WA_CDPs[[#This Row],[NAME]]," Tribal Community CDP, Washington","")," CDP, Washington","")," city, Washington","")," town, Washington","")," village, Washington","")</f>
        <v>Silvana</v>
      </c>
      <c r="C517" t="s">
        <v>1774</v>
      </c>
      <c r="D517" t="s">
        <v>1013</v>
      </c>
    </row>
    <row r="518" spans="1:4">
      <c r="A518" t="s">
        <v>1016</v>
      </c>
      <c r="B518" t="str">
        <f>SUBSTITUTE(SUBSTITUTE(SUBSTITUTE(SUBSTITUTE(SUBSTITUTE(WA_CDPs[[#This Row],[NAME]]," Tribal Community CDP, Washington","")," CDP, Washington","")," city, Washington","")," town, Washington","")," village, Washington","")</f>
        <v>Silverdale</v>
      </c>
      <c r="C518" t="s">
        <v>1775</v>
      </c>
      <c r="D518" t="s">
        <v>1015</v>
      </c>
    </row>
    <row r="519" spans="1:4">
      <c r="A519" t="s">
        <v>1018</v>
      </c>
      <c r="B519" t="str">
        <f>SUBSTITUTE(SUBSTITUTE(SUBSTITUTE(SUBSTITUTE(SUBSTITUTE(WA_CDPs[[#This Row],[NAME]]," Tribal Community CDP, Washington","")," CDP, Washington","")," city, Washington","")," town, Washington","")," village, Washington","")</f>
        <v>Silver Firs</v>
      </c>
      <c r="C519" t="s">
        <v>1776</v>
      </c>
      <c r="D519" t="s">
        <v>1017</v>
      </c>
    </row>
    <row r="520" spans="1:4">
      <c r="A520" t="s">
        <v>1020</v>
      </c>
      <c r="B520" t="str">
        <f>SUBSTITUTE(SUBSTITUTE(SUBSTITUTE(SUBSTITUTE(SUBSTITUTE(WA_CDPs[[#This Row],[NAME]]," Tribal Community CDP, Washington","")," CDP, Washington","")," city, Washington","")," town, Washington","")," village, Washington","")</f>
        <v>Sisco Heights</v>
      </c>
      <c r="C520" t="s">
        <v>1777</v>
      </c>
      <c r="D520" t="s">
        <v>1019</v>
      </c>
    </row>
    <row r="521" spans="1:4">
      <c r="A521" t="s">
        <v>1022</v>
      </c>
      <c r="B521" t="str">
        <f>SUBSTITUTE(SUBSTITUTE(SUBSTITUTE(SUBSTITUTE(SUBSTITUTE(WA_CDPs[[#This Row],[NAME]]," Tribal Community CDP, Washington","")," CDP, Washington","")," city, Washington","")," town, Washington","")," village, Washington","")</f>
        <v>Skamokawa Valley</v>
      </c>
      <c r="C521" t="s">
        <v>1778</v>
      </c>
      <c r="D521" t="s">
        <v>1021</v>
      </c>
    </row>
    <row r="522" spans="1:4">
      <c r="A522" t="s">
        <v>1024</v>
      </c>
      <c r="B522" t="str">
        <f>SUBSTITUTE(SUBSTITUTE(SUBSTITUTE(SUBSTITUTE(SUBSTITUTE(WA_CDPs[[#This Row],[NAME]]," Tribal Community CDP, Washington","")," CDP, Washington","")," city, Washington","")," town, Washington","")," village, Washington","")</f>
        <v>Skokomish</v>
      </c>
      <c r="C522" t="s">
        <v>1779</v>
      </c>
      <c r="D522" t="s">
        <v>1023</v>
      </c>
    </row>
    <row r="523" spans="1:4">
      <c r="A523" t="s">
        <v>1026</v>
      </c>
      <c r="B523" t="str">
        <f>SUBSTITUTE(SUBSTITUTE(SUBSTITUTE(SUBSTITUTE(SUBSTITUTE(WA_CDPs[[#This Row],[NAME]]," Tribal Community CDP, Washington","")," CDP, Washington","")," city, Washington","")," town, Washington","")," village, Washington","")</f>
        <v>Skykomish</v>
      </c>
      <c r="C523" t="s">
        <v>1780</v>
      </c>
      <c r="D523" t="s">
        <v>1025</v>
      </c>
    </row>
    <row r="524" spans="1:4">
      <c r="A524" t="s">
        <v>1028</v>
      </c>
      <c r="B524" t="str">
        <f>SUBSTITUTE(SUBSTITUTE(SUBSTITUTE(SUBSTITUTE(SUBSTITUTE(WA_CDPs[[#This Row],[NAME]]," Tribal Community CDP, Washington","")," CDP, Washington","")," city, Washington","")," town, Washington","")," village, Washington","")</f>
        <v>Snohomish</v>
      </c>
      <c r="C524" t="s">
        <v>1781</v>
      </c>
      <c r="D524" t="s">
        <v>1027</v>
      </c>
    </row>
    <row r="525" spans="1:4">
      <c r="A525" t="s">
        <v>1030</v>
      </c>
      <c r="B525" t="str">
        <f>SUBSTITUTE(SUBSTITUTE(SUBSTITUTE(SUBSTITUTE(SUBSTITUTE(WA_CDPs[[#This Row],[NAME]]," Tribal Community CDP, Washington","")," CDP, Washington","")," city, Washington","")," town, Washington","")," village, Washington","")</f>
        <v>Snoqualmie</v>
      </c>
      <c r="C525" t="s">
        <v>1782</v>
      </c>
      <c r="D525" t="s">
        <v>1029</v>
      </c>
    </row>
    <row r="526" spans="1:4">
      <c r="A526" t="s">
        <v>1032</v>
      </c>
      <c r="B526" t="str">
        <f>SUBSTITUTE(SUBSTITUTE(SUBSTITUTE(SUBSTITUTE(SUBSTITUTE(WA_CDPs[[#This Row],[NAME]]," Tribal Community CDP, Washington","")," CDP, Washington","")," city, Washington","")," town, Washington","")," village, Washington","")</f>
        <v>Snoqualmie Pass</v>
      </c>
      <c r="C526" t="s">
        <v>1783</v>
      </c>
      <c r="D526" t="s">
        <v>1031</v>
      </c>
    </row>
    <row r="527" spans="1:4">
      <c r="A527" t="s">
        <v>1034</v>
      </c>
      <c r="B527" t="str">
        <f>SUBSTITUTE(SUBSTITUTE(SUBSTITUTE(SUBSTITUTE(SUBSTITUTE(WA_CDPs[[#This Row],[NAME]]," Tribal Community CDP, Washington","")," CDP, Washington","")," city, Washington","")," town, Washington","")," village, Washington","")</f>
        <v>Soap Lake</v>
      </c>
      <c r="C527" t="s">
        <v>1784</v>
      </c>
      <c r="D527" t="s">
        <v>1033</v>
      </c>
    </row>
    <row r="528" spans="1:4">
      <c r="A528" t="s">
        <v>1036</v>
      </c>
      <c r="B528" t="str">
        <f>SUBSTITUTE(SUBSTITUTE(SUBSTITUTE(SUBSTITUTE(SUBSTITUTE(WA_CDPs[[#This Row],[NAME]]," Tribal Community CDP, Washington","")," CDP, Washington","")," city, Washington","")," town, Washington","")," village, Washington","")</f>
        <v>South Bend</v>
      </c>
      <c r="C528" t="s">
        <v>1785</v>
      </c>
      <c r="D528" t="s">
        <v>1035</v>
      </c>
    </row>
    <row r="529" spans="1:4">
      <c r="A529" t="s">
        <v>1038</v>
      </c>
      <c r="B529" t="str">
        <f>SUBSTITUTE(SUBSTITUTE(SUBSTITUTE(SUBSTITUTE(SUBSTITUTE(WA_CDPs[[#This Row],[NAME]]," Tribal Community CDP, Washington","")," CDP, Washington","")," city, Washington","")," town, Washington","")," village, Washington","")</f>
        <v>South Cle Elum</v>
      </c>
      <c r="C529" t="s">
        <v>1786</v>
      </c>
      <c r="D529" t="s">
        <v>1037</v>
      </c>
    </row>
    <row r="530" spans="1:4">
      <c r="A530" t="s">
        <v>1040</v>
      </c>
      <c r="B530" t="str">
        <f>SUBSTITUTE(SUBSTITUTE(SUBSTITUTE(SUBSTITUTE(SUBSTITUTE(WA_CDPs[[#This Row],[NAME]]," Tribal Community CDP, Washington","")," CDP, Washington","")," city, Washington","")," town, Washington","")," village, Washington","")</f>
        <v>South Creek</v>
      </c>
      <c r="C530" t="s">
        <v>1787</v>
      </c>
      <c r="D530" t="s">
        <v>1039</v>
      </c>
    </row>
    <row r="531" spans="1:4">
      <c r="A531" t="s">
        <v>1042</v>
      </c>
      <c r="B531" t="str">
        <f>SUBSTITUTE(SUBSTITUTE(SUBSTITUTE(SUBSTITUTE(SUBSTITUTE(WA_CDPs[[#This Row],[NAME]]," Tribal Community CDP, Washington","")," CDP, Washington","")," city, Washington","")," town, Washington","")," village, Washington","")</f>
        <v>South Hill</v>
      </c>
      <c r="C531" t="s">
        <v>1788</v>
      </c>
      <c r="D531" t="s">
        <v>1041</v>
      </c>
    </row>
    <row r="532" spans="1:4">
      <c r="A532" t="s">
        <v>1044</v>
      </c>
      <c r="B532" t="str">
        <f>SUBSTITUTE(SUBSTITUTE(SUBSTITUTE(SUBSTITUTE(SUBSTITUTE(WA_CDPs[[#This Row],[NAME]]," Tribal Community CDP, Washington","")," CDP, Washington","")," city, Washington","")," town, Washington","")," village, Washington","")</f>
        <v>South Prairie</v>
      </c>
      <c r="C532" t="s">
        <v>1789</v>
      </c>
      <c r="D532" t="s">
        <v>1043</v>
      </c>
    </row>
    <row r="533" spans="1:4">
      <c r="A533" t="s">
        <v>1046</v>
      </c>
      <c r="B533" t="str">
        <f>SUBSTITUTE(SUBSTITUTE(SUBSTITUTE(SUBSTITUTE(SUBSTITUTE(WA_CDPs[[#This Row],[NAME]]," Tribal Community CDP, Washington","")," CDP, Washington","")," city, Washington","")," town, Washington","")," village, Washington","")</f>
        <v>South Wenatchee</v>
      </c>
      <c r="C533" t="s">
        <v>1790</v>
      </c>
      <c r="D533" t="s">
        <v>1045</v>
      </c>
    </row>
    <row r="534" spans="1:4">
      <c r="A534" t="s">
        <v>1048</v>
      </c>
      <c r="B534" t="str">
        <f>SUBSTITUTE(SUBSTITUTE(SUBSTITUTE(SUBSTITUTE(SUBSTITUTE(WA_CDPs[[#This Row],[NAME]]," Tribal Community CDP, Washington","")," CDP, Washington","")," city, Washington","")," town, Washington","")," village, Washington","")</f>
        <v>Southworth</v>
      </c>
      <c r="C534" t="s">
        <v>1791</v>
      </c>
      <c r="D534" t="s">
        <v>1047</v>
      </c>
    </row>
    <row r="535" spans="1:4">
      <c r="A535" t="s">
        <v>1050</v>
      </c>
      <c r="B535" t="str">
        <f>SUBSTITUTE(SUBSTITUTE(SUBSTITUTE(SUBSTITUTE(SUBSTITUTE(WA_CDPs[[#This Row],[NAME]]," Tribal Community CDP, Washington","")," CDP, Washington","")," city, Washington","")," town, Washington","")," village, Washington","")</f>
        <v>Spanaway</v>
      </c>
      <c r="C535" t="s">
        <v>1792</v>
      </c>
      <c r="D535" t="s">
        <v>1049</v>
      </c>
    </row>
    <row r="536" spans="1:4">
      <c r="A536" t="s">
        <v>1052</v>
      </c>
      <c r="B536" t="str">
        <f>SUBSTITUTE(SUBSTITUTE(SUBSTITUTE(SUBSTITUTE(SUBSTITUTE(WA_CDPs[[#This Row],[NAME]]," Tribal Community CDP, Washington","")," CDP, Washington","")," city, Washington","")," town, Washington","")," village, Washington","")</f>
        <v>Spangle</v>
      </c>
      <c r="C536" t="s">
        <v>1793</v>
      </c>
      <c r="D536" t="s">
        <v>1051</v>
      </c>
    </row>
    <row r="537" spans="1:4">
      <c r="A537" t="s">
        <v>1054</v>
      </c>
      <c r="B537" t="str">
        <f>SUBSTITUTE(SUBSTITUTE(SUBSTITUTE(SUBSTITUTE(SUBSTITUTE(WA_CDPs[[#This Row],[NAME]]," Tribal Community CDP, Washington","")," CDP, Washington","")," city, Washington","")," town, Washington","")," village, Washington","")</f>
        <v>Spokane</v>
      </c>
      <c r="C537" t="s">
        <v>1794</v>
      </c>
      <c r="D537" t="s">
        <v>1053</v>
      </c>
    </row>
    <row r="538" spans="1:4">
      <c r="A538" t="s">
        <v>1056</v>
      </c>
      <c r="B538" t="str">
        <f>SUBSTITUTE(SUBSTITUTE(SUBSTITUTE(SUBSTITUTE(SUBSTITUTE(WA_CDPs[[#This Row],[NAME]]," Tribal Community CDP, Washington","")," CDP, Washington","")," city, Washington","")," town, Washington","")," village, Washington","")</f>
        <v>Spokane Valley</v>
      </c>
      <c r="C538" t="s">
        <v>1795</v>
      </c>
      <c r="D538" t="s">
        <v>1055</v>
      </c>
    </row>
    <row r="539" spans="1:4">
      <c r="A539" t="s">
        <v>1058</v>
      </c>
      <c r="B539" t="str">
        <f>SUBSTITUTE(SUBSTITUTE(SUBSTITUTE(SUBSTITUTE(SUBSTITUTE(WA_CDPs[[#This Row],[NAME]]," Tribal Community CDP, Washington","")," CDP, Washington","")," city, Washington","")," town, Washington","")," village, Washington","")</f>
        <v>Sprague</v>
      </c>
      <c r="C539" t="s">
        <v>1796</v>
      </c>
      <c r="D539" t="s">
        <v>1057</v>
      </c>
    </row>
    <row r="540" spans="1:4">
      <c r="A540" t="s">
        <v>1060</v>
      </c>
      <c r="B540" t="str">
        <f>SUBSTITUTE(SUBSTITUTE(SUBSTITUTE(SUBSTITUTE(SUBSTITUTE(WA_CDPs[[#This Row],[NAME]]," Tribal Community CDP, Washington","")," CDP, Washington","")," city, Washington","")," town, Washington","")," village, Washington","")</f>
        <v>Springdale</v>
      </c>
      <c r="C540" t="s">
        <v>1797</v>
      </c>
      <c r="D540" t="s">
        <v>1059</v>
      </c>
    </row>
    <row r="541" spans="1:4">
      <c r="A541" t="s">
        <v>1062</v>
      </c>
      <c r="B541" t="str">
        <f>SUBSTITUTE(SUBSTITUTE(SUBSTITUTE(SUBSTITUTE(SUBSTITUTE(WA_CDPs[[#This Row],[NAME]]," Tribal Community CDP, Washington","")," CDP, Washington","")," city, Washington","")," town, Washington","")," village, Washington","")</f>
        <v>Stansberry Lake</v>
      </c>
      <c r="C541" t="s">
        <v>1798</v>
      </c>
      <c r="D541" t="s">
        <v>1061</v>
      </c>
    </row>
    <row r="542" spans="1:4">
      <c r="A542" t="s">
        <v>1064</v>
      </c>
      <c r="B542" t="str">
        <f>SUBSTITUTE(SUBSTITUTE(SUBSTITUTE(SUBSTITUTE(SUBSTITUTE(WA_CDPs[[#This Row],[NAME]]," Tribal Community CDP, Washington","")," CDP, Washington","")," city, Washington","")," town, Washington","")," village, Washington","")</f>
        <v>Stanwood</v>
      </c>
      <c r="C542" t="s">
        <v>1799</v>
      </c>
      <c r="D542" t="s">
        <v>1063</v>
      </c>
    </row>
    <row r="543" spans="1:4">
      <c r="A543" t="s">
        <v>1066</v>
      </c>
      <c r="B543" t="str">
        <f>SUBSTITUTE(SUBSTITUTE(SUBSTITUTE(SUBSTITUTE(SUBSTITUTE(WA_CDPs[[#This Row],[NAME]]," Tribal Community CDP, Washington","")," CDP, Washington","")," city, Washington","")," town, Washington","")," village, Washington","")</f>
        <v>Starbuck</v>
      </c>
      <c r="C543" t="s">
        <v>1800</v>
      </c>
      <c r="D543" t="s">
        <v>1065</v>
      </c>
    </row>
    <row r="544" spans="1:4">
      <c r="A544" t="s">
        <v>1068</v>
      </c>
      <c r="B544" t="str">
        <f>SUBSTITUTE(SUBSTITUTE(SUBSTITUTE(SUBSTITUTE(SUBSTITUTE(WA_CDPs[[#This Row],[NAME]]," Tribal Community CDP, Washington","")," CDP, Washington","")," city, Washington","")," town, Washington","")," village, Washington","")</f>
        <v>Startup</v>
      </c>
      <c r="C544" t="s">
        <v>1801</v>
      </c>
      <c r="D544" t="s">
        <v>1067</v>
      </c>
    </row>
    <row r="545" spans="1:4">
      <c r="A545" t="s">
        <v>1070</v>
      </c>
      <c r="B545" t="str">
        <f>SUBSTITUTE(SUBSTITUTE(SUBSTITUTE(SUBSTITUTE(SUBSTITUTE(WA_CDPs[[#This Row],[NAME]]," Tribal Community CDP, Washington","")," CDP, Washington","")," city, Washington","")," town, Washington","")," village, Washington","")</f>
        <v>Steilacoom</v>
      </c>
      <c r="C545" t="s">
        <v>1802</v>
      </c>
      <c r="D545" t="s">
        <v>1069</v>
      </c>
    </row>
    <row r="546" spans="1:4">
      <c r="A546" t="s">
        <v>1072</v>
      </c>
      <c r="B546" t="str">
        <f>SUBSTITUTE(SUBSTITUTE(SUBSTITUTE(SUBSTITUTE(SUBSTITUTE(WA_CDPs[[#This Row],[NAME]]," Tribal Community CDP, Washington","")," CDP, Washington","")," city, Washington","")," town, Washington","")," village, Washington","")</f>
        <v>Steptoe</v>
      </c>
      <c r="C546" t="s">
        <v>1803</v>
      </c>
      <c r="D546" t="s">
        <v>1071</v>
      </c>
    </row>
    <row r="547" spans="1:4">
      <c r="A547" t="s">
        <v>1074</v>
      </c>
      <c r="B547" t="str">
        <f>SUBSTITUTE(SUBSTITUTE(SUBSTITUTE(SUBSTITUTE(SUBSTITUTE(WA_CDPs[[#This Row],[NAME]]," Tribal Community CDP, Washington","")," CDP, Washington","")," city, Washington","")," town, Washington","")," village, Washington","")</f>
        <v>Stevenson</v>
      </c>
      <c r="C547" t="s">
        <v>1804</v>
      </c>
      <c r="D547" t="s">
        <v>1073</v>
      </c>
    </row>
    <row r="548" spans="1:4">
      <c r="A548" t="s">
        <v>1076</v>
      </c>
      <c r="B548" t="str">
        <f>SUBSTITUTE(SUBSTITUTE(SUBSTITUTE(SUBSTITUTE(SUBSTITUTE(WA_CDPs[[#This Row],[NAME]]," Tribal Community CDP, Washington","")," CDP, Washington","")," city, Washington","")," town, Washington","")," village, Washington","")</f>
        <v>Sudden Valley</v>
      </c>
      <c r="C548" t="s">
        <v>1805</v>
      </c>
      <c r="D548" t="s">
        <v>1075</v>
      </c>
    </row>
    <row r="549" spans="1:4">
      <c r="A549" t="s">
        <v>1078</v>
      </c>
      <c r="B549" t="str">
        <f>SUBSTITUTE(SUBSTITUTE(SUBSTITUTE(SUBSTITUTE(SUBSTITUTE(WA_CDPs[[#This Row],[NAME]]," Tribal Community CDP, Washington","")," CDP, Washington","")," city, Washington","")," town, Washington","")," village, Washington","")</f>
        <v>Sultan</v>
      </c>
      <c r="C549" t="s">
        <v>1806</v>
      </c>
      <c r="D549" t="s">
        <v>1077</v>
      </c>
    </row>
    <row r="550" spans="1:4">
      <c r="A550" t="s">
        <v>1080</v>
      </c>
      <c r="B550" t="str">
        <f>SUBSTITUTE(SUBSTITUTE(SUBSTITUTE(SUBSTITUTE(SUBSTITUTE(WA_CDPs[[#This Row],[NAME]]," Tribal Community CDP, Washington","")," CDP, Washington","")," city, Washington","")," town, Washington","")," village, Washington","")</f>
        <v>Sumas</v>
      </c>
      <c r="C550" t="s">
        <v>1807</v>
      </c>
      <c r="D550" t="s">
        <v>1079</v>
      </c>
    </row>
    <row r="551" spans="1:4">
      <c r="A551" t="s">
        <v>1082</v>
      </c>
      <c r="B551" t="str">
        <f>SUBSTITUTE(SUBSTITUTE(SUBSTITUTE(SUBSTITUTE(SUBSTITUTE(WA_CDPs[[#This Row],[NAME]]," Tribal Community CDP, Washington","")," CDP, Washington","")," city, Washington","")," town, Washington","")," village, Washington","")</f>
        <v>Summit</v>
      </c>
      <c r="C551" t="s">
        <v>1808</v>
      </c>
      <c r="D551" t="s">
        <v>1081</v>
      </c>
    </row>
    <row r="552" spans="1:4">
      <c r="A552" t="s">
        <v>1084</v>
      </c>
      <c r="B552" t="str">
        <f>SUBSTITUTE(SUBSTITUTE(SUBSTITUTE(SUBSTITUTE(SUBSTITUTE(WA_CDPs[[#This Row],[NAME]]," Tribal Community CDP, Washington","")," CDP, Washington","")," city, Washington","")," town, Washington","")," village, Washington","")</f>
        <v>Summit View</v>
      </c>
      <c r="C552" t="s">
        <v>1809</v>
      </c>
      <c r="D552" t="s">
        <v>1083</v>
      </c>
    </row>
    <row r="553" spans="1:4">
      <c r="A553" t="s">
        <v>1086</v>
      </c>
      <c r="B553" t="str">
        <f>SUBSTITUTE(SUBSTITUTE(SUBSTITUTE(SUBSTITUTE(SUBSTITUTE(WA_CDPs[[#This Row],[NAME]]," Tribal Community CDP, Washington","")," CDP, Washington","")," city, Washington","")," town, Washington","")," village, Washington","")</f>
        <v>Summitview</v>
      </c>
      <c r="C553" t="s">
        <v>1810</v>
      </c>
      <c r="D553" t="s">
        <v>1085</v>
      </c>
    </row>
    <row r="554" spans="1:4">
      <c r="A554" t="s">
        <v>1088</v>
      </c>
      <c r="B554" t="str">
        <f>SUBSTITUTE(SUBSTITUTE(SUBSTITUTE(SUBSTITUTE(SUBSTITUTE(WA_CDPs[[#This Row],[NAME]]," Tribal Community CDP, Washington","")," CDP, Washington","")," city, Washington","")," town, Washington","")," village, Washington","")</f>
        <v>Sumner</v>
      </c>
      <c r="C554" t="s">
        <v>1811</v>
      </c>
      <c r="D554" t="s">
        <v>1087</v>
      </c>
    </row>
    <row r="555" spans="1:4">
      <c r="A555" t="s">
        <v>2460</v>
      </c>
      <c r="B555" t="str">
        <f>SUBSTITUTE(SUBSTITUTE(SUBSTITUTE(SUBSTITUTE(SUBSTITUTE(WA_CDPs[[#This Row],[NAME]]," Tribal Community CDP, Washington","")," CDP, Washington","")," city, Washington","")," town, Washington","")," village, Washington","")</f>
        <v>Suncrest</v>
      </c>
      <c r="C555" t="s">
        <v>2459</v>
      </c>
      <c r="D555" t="e">
        <v>#N/A</v>
      </c>
    </row>
    <row r="556" spans="1:4">
      <c r="A556" t="s">
        <v>1090</v>
      </c>
      <c r="B556" t="str">
        <f>SUBSTITUTE(SUBSTITUTE(SUBSTITUTE(SUBSTITUTE(SUBSTITUTE(WA_CDPs[[#This Row],[NAME]]," Tribal Community CDP, Washington","")," CDP, Washington","")," city, Washington","")," town, Washington","")," village, Washington","")</f>
        <v>Sunday Lake</v>
      </c>
      <c r="C556" t="s">
        <v>1812</v>
      </c>
      <c r="D556" t="s">
        <v>1089</v>
      </c>
    </row>
    <row r="557" spans="1:4">
      <c r="A557" t="s">
        <v>2462</v>
      </c>
      <c r="B557" t="str">
        <f>SUBSTITUTE(SUBSTITUTE(SUBSTITUTE(SUBSTITUTE(SUBSTITUTE(WA_CDPs[[#This Row],[NAME]]," Tribal Community CDP, Washington","")," CDP, Washington","")," city, Washington","")," town, Washington","")," village, Washington","")</f>
        <v>Sunland Estates</v>
      </c>
      <c r="C557" t="s">
        <v>2461</v>
      </c>
      <c r="D557" t="e">
        <v>#N/A</v>
      </c>
    </row>
    <row r="558" spans="1:4">
      <c r="A558" t="s">
        <v>1092</v>
      </c>
      <c r="B558" t="str">
        <f>SUBSTITUTE(SUBSTITUTE(SUBSTITUTE(SUBSTITUTE(SUBSTITUTE(WA_CDPs[[#This Row],[NAME]]," Tribal Community CDP, Washington","")," CDP, Washington","")," city, Washington","")," town, Washington","")," village, Washington","")</f>
        <v>Sunnyside</v>
      </c>
      <c r="C558" t="s">
        <v>1813</v>
      </c>
      <c r="D558" t="s">
        <v>1091</v>
      </c>
    </row>
    <row r="559" spans="1:4">
      <c r="A559" t="s">
        <v>1094</v>
      </c>
      <c r="B559" t="str">
        <f>SUBSTITUTE(SUBSTITUTE(SUBSTITUTE(SUBSTITUTE(SUBSTITUTE(WA_CDPs[[#This Row],[NAME]]," Tribal Community CDP, Washington","")," CDP, Washington","")," city, Washington","")," town, Washington","")," village, Washington","")</f>
        <v>Sunnyslope</v>
      </c>
      <c r="C559" t="s">
        <v>1814</v>
      </c>
      <c r="D559" t="s">
        <v>1093</v>
      </c>
    </row>
    <row r="560" spans="1:4">
      <c r="A560" t="s">
        <v>1096</v>
      </c>
      <c r="B560" t="str">
        <f>SUBSTITUTE(SUBSTITUTE(SUBSTITUTE(SUBSTITUTE(SUBSTITUTE(WA_CDPs[[#This Row],[NAME]]," Tribal Community CDP, Washington","")," CDP, Washington","")," city, Washington","")," town, Washington","")," village, Washington","")</f>
        <v>Suquamish</v>
      </c>
      <c r="C560" t="s">
        <v>1815</v>
      </c>
      <c r="D560" t="s">
        <v>1095</v>
      </c>
    </row>
    <row r="561" spans="1:4">
      <c r="A561" t="s">
        <v>1098</v>
      </c>
      <c r="B561" t="str">
        <f>SUBSTITUTE(SUBSTITUTE(SUBSTITUTE(SUBSTITUTE(SUBSTITUTE(WA_CDPs[[#This Row],[NAME]]," Tribal Community CDP, Washington","")," CDP, Washington","")," city, Washington","")," town, Washington","")," village, Washington","")</f>
        <v>Swede Heaven</v>
      </c>
      <c r="C561" t="s">
        <v>1816</v>
      </c>
      <c r="D561" t="s">
        <v>1097</v>
      </c>
    </row>
    <row r="562" spans="1:4">
      <c r="A562" t="s">
        <v>1100</v>
      </c>
      <c r="B562" t="str">
        <f>SUBSTITUTE(SUBSTITUTE(SUBSTITUTE(SUBSTITUTE(SUBSTITUTE(WA_CDPs[[#This Row],[NAME]]," Tribal Community CDP, Washington","")," CDP, Washington","")," city, Washington","")," town, Washington","")," village, Washington","")</f>
        <v>Tacoma</v>
      </c>
      <c r="C562" t="s">
        <v>1817</v>
      </c>
      <c r="D562" t="s">
        <v>1099</v>
      </c>
    </row>
    <row r="563" spans="1:4">
      <c r="A563" t="s">
        <v>1102</v>
      </c>
      <c r="B563" t="str">
        <f>SUBSTITUTE(SUBSTITUTE(SUBSTITUTE(SUBSTITUTE(SUBSTITUTE(WA_CDPs[[#This Row],[NAME]]," Tribal Community CDP, Washington","")," CDP, Washington","")," city, Washington","")," town, Washington","")," village, Washington","")</f>
        <v>Taholah</v>
      </c>
      <c r="C563" t="s">
        <v>1818</v>
      </c>
      <c r="D563" t="s">
        <v>1101</v>
      </c>
    </row>
    <row r="564" spans="1:4">
      <c r="A564" t="s">
        <v>1104</v>
      </c>
      <c r="B564" t="str">
        <f>SUBSTITUTE(SUBSTITUTE(SUBSTITUTE(SUBSTITUTE(SUBSTITUTE(WA_CDPs[[#This Row],[NAME]]," Tribal Community CDP, Washington","")," CDP, Washington","")," city, Washington","")," town, Washington","")," village, Washington","")</f>
        <v>Tampico</v>
      </c>
      <c r="C564" t="s">
        <v>1819</v>
      </c>
      <c r="D564" t="s">
        <v>1103</v>
      </c>
    </row>
    <row r="565" spans="1:4">
      <c r="A565" t="s">
        <v>1106</v>
      </c>
      <c r="B565" t="str">
        <f>SUBSTITUTE(SUBSTITUTE(SUBSTITUTE(SUBSTITUTE(SUBSTITUTE(WA_CDPs[[#This Row],[NAME]]," Tribal Community CDP, Washington","")," CDP, Washington","")," city, Washington","")," town, Washington","")," village, Washington","")</f>
        <v>Tanglewilde</v>
      </c>
      <c r="C565" t="s">
        <v>1820</v>
      </c>
      <c r="D565" t="s">
        <v>1105</v>
      </c>
    </row>
    <row r="566" spans="1:4">
      <c r="A566" t="s">
        <v>2464</v>
      </c>
      <c r="B566" t="str">
        <f>SUBSTITUTE(SUBSTITUTE(SUBSTITUTE(SUBSTITUTE(SUBSTITUTE(WA_CDPs[[#This Row],[NAME]]," Tribal Community CDP, Washington","")," CDP, Washington","")," city, Washington","")," town, Washington","")," village, Washington","")</f>
        <v>Tehaleh</v>
      </c>
      <c r="C566" t="s">
        <v>2463</v>
      </c>
      <c r="D566" t="e">
        <v>#N/A</v>
      </c>
    </row>
    <row r="567" spans="1:4">
      <c r="A567" t="s">
        <v>1108</v>
      </c>
      <c r="B567" t="str">
        <f>SUBSTITUTE(SUBSTITUTE(SUBSTITUTE(SUBSTITUTE(SUBSTITUTE(WA_CDPs[[#This Row],[NAME]]," Tribal Community CDP, Washington","")," CDP, Washington","")," city, Washington","")," town, Washington","")," village, Washington","")</f>
        <v>Tekoa</v>
      </c>
      <c r="C567" t="s">
        <v>1821</v>
      </c>
      <c r="D567" t="s">
        <v>1107</v>
      </c>
    </row>
    <row r="568" spans="1:4">
      <c r="A568" t="s">
        <v>1110</v>
      </c>
      <c r="B568" t="str">
        <f>SUBSTITUTE(SUBSTITUTE(SUBSTITUTE(SUBSTITUTE(SUBSTITUTE(WA_CDPs[[#This Row],[NAME]]," Tribal Community CDP, Washington","")," CDP, Washington","")," city, Washington","")," town, Washington","")," village, Washington","")</f>
        <v>Tenino</v>
      </c>
      <c r="C568" t="s">
        <v>1822</v>
      </c>
      <c r="D568" t="s">
        <v>1109</v>
      </c>
    </row>
    <row r="569" spans="1:4">
      <c r="A569" t="s">
        <v>1112</v>
      </c>
      <c r="B569" t="str">
        <f>SUBSTITUTE(SUBSTITUTE(SUBSTITUTE(SUBSTITUTE(SUBSTITUTE(WA_CDPs[[#This Row],[NAME]]," Tribal Community CDP, Washington","")," CDP, Washington","")," city, Washington","")," town, Washington","")," village, Washington","")</f>
        <v>Terrace Heights</v>
      </c>
      <c r="C569" t="s">
        <v>1823</v>
      </c>
      <c r="D569" t="s">
        <v>1111</v>
      </c>
    </row>
    <row r="570" spans="1:4">
      <c r="A570" t="s">
        <v>1114</v>
      </c>
      <c r="B570" t="str">
        <f>SUBSTITUTE(SUBSTITUTE(SUBSTITUTE(SUBSTITUTE(SUBSTITUTE(WA_CDPs[[#This Row],[NAME]]," Tribal Community CDP, Washington","")," CDP, Washington","")," city, Washington","")," town, Washington","")," village, Washington","")</f>
        <v>Thorp</v>
      </c>
      <c r="C570" t="s">
        <v>1824</v>
      </c>
      <c r="D570" t="s">
        <v>1113</v>
      </c>
    </row>
    <row r="571" spans="1:4">
      <c r="A571" t="s">
        <v>1116</v>
      </c>
      <c r="B571" t="str">
        <f>SUBSTITUTE(SUBSTITUTE(SUBSTITUTE(SUBSTITUTE(SUBSTITUTE(WA_CDPs[[#This Row],[NAME]]," Tribal Community CDP, Washington","")," CDP, Washington","")," city, Washington","")," town, Washington","")," village, Washington","")</f>
        <v>Three Lakes</v>
      </c>
      <c r="C571" t="s">
        <v>1825</v>
      </c>
      <c r="D571" t="s">
        <v>1115</v>
      </c>
    </row>
    <row r="572" spans="1:4">
      <c r="A572" t="s">
        <v>1118</v>
      </c>
      <c r="B572" t="str">
        <f>SUBSTITUTE(SUBSTITUTE(SUBSTITUTE(SUBSTITUTE(SUBSTITUTE(WA_CDPs[[#This Row],[NAME]]," Tribal Community CDP, Washington","")," CDP, Washington","")," city, Washington","")," town, Washington","")," village, Washington","")</f>
        <v>Tieton</v>
      </c>
      <c r="C572" t="s">
        <v>1826</v>
      </c>
      <c r="D572" t="s">
        <v>1117</v>
      </c>
    </row>
    <row r="573" spans="1:4">
      <c r="A573" t="s">
        <v>1120</v>
      </c>
      <c r="B573" t="str">
        <f>SUBSTITUTE(SUBSTITUTE(SUBSTITUTE(SUBSTITUTE(SUBSTITUTE(WA_CDPs[[#This Row],[NAME]]," Tribal Community CDP, Washington","")," CDP, Washington","")," city, Washington","")," town, Washington","")," village, Washington","")</f>
        <v>Tokeland</v>
      </c>
      <c r="C573" t="s">
        <v>1827</v>
      </c>
      <c r="D573" t="s">
        <v>1119</v>
      </c>
    </row>
    <row r="574" spans="1:4">
      <c r="A574" t="s">
        <v>1122</v>
      </c>
      <c r="B574" t="str">
        <f>SUBSTITUTE(SUBSTITUTE(SUBSTITUTE(SUBSTITUTE(SUBSTITUTE(WA_CDPs[[#This Row],[NAME]]," Tribal Community CDP, Washington","")," CDP, Washington","")," city, Washington","")," town, Washington","")," village, Washington","")</f>
        <v>Toledo</v>
      </c>
      <c r="C574" t="s">
        <v>1828</v>
      </c>
      <c r="D574" t="s">
        <v>1121</v>
      </c>
    </row>
    <row r="575" spans="1:4">
      <c r="A575" t="s">
        <v>1124</v>
      </c>
      <c r="B575" t="str">
        <f>SUBSTITUTE(SUBSTITUTE(SUBSTITUTE(SUBSTITUTE(SUBSTITUTE(WA_CDPs[[#This Row],[NAME]]," Tribal Community CDP, Washington","")," CDP, Washington","")," city, Washington","")," town, Washington","")," village, Washington","")</f>
        <v>Tonasket</v>
      </c>
      <c r="C575" t="s">
        <v>1829</v>
      </c>
      <c r="D575" t="s">
        <v>1123</v>
      </c>
    </row>
    <row r="576" spans="1:4">
      <c r="A576" t="s">
        <v>1126</v>
      </c>
      <c r="B576" t="str">
        <f>SUBSTITUTE(SUBSTITUTE(SUBSTITUTE(SUBSTITUTE(SUBSTITUTE(WA_CDPs[[#This Row],[NAME]]," Tribal Community CDP, Washington","")," CDP, Washington","")," city, Washington","")," town, Washington","")," village, Washington","")</f>
        <v>Toppenish</v>
      </c>
      <c r="C576" t="s">
        <v>1830</v>
      </c>
      <c r="D576" t="s">
        <v>1125</v>
      </c>
    </row>
    <row r="577" spans="1:4">
      <c r="A577" t="s">
        <v>1128</v>
      </c>
      <c r="B577" t="str">
        <f>SUBSTITUTE(SUBSTITUTE(SUBSTITUTE(SUBSTITUTE(SUBSTITUTE(WA_CDPs[[#This Row],[NAME]]," Tribal Community CDP, Washington","")," CDP, Washington","")," city, Washington","")," town, Washington","")," village, Washington","")</f>
        <v>Torboy</v>
      </c>
      <c r="C577" t="s">
        <v>1831</v>
      </c>
      <c r="D577" t="s">
        <v>1127</v>
      </c>
    </row>
    <row r="578" spans="1:4">
      <c r="A578" t="s">
        <v>1130</v>
      </c>
      <c r="B578" t="str">
        <f>SUBSTITUTE(SUBSTITUTE(SUBSTITUTE(SUBSTITUTE(SUBSTITUTE(WA_CDPs[[#This Row],[NAME]]," Tribal Community CDP, Washington","")," CDP, Washington","")," city, Washington","")," town, Washington","")," village, Washington","")</f>
        <v>Touchet</v>
      </c>
      <c r="C578" t="s">
        <v>1832</v>
      </c>
      <c r="D578" t="s">
        <v>1129</v>
      </c>
    </row>
    <row r="579" spans="1:4">
      <c r="A579" t="s">
        <v>1132</v>
      </c>
      <c r="B579" t="str">
        <f>SUBSTITUTE(SUBSTITUTE(SUBSTITUTE(SUBSTITUTE(SUBSTITUTE(WA_CDPs[[#This Row],[NAME]]," Tribal Community CDP, Washington","")," CDP, Washington","")," city, Washington","")," town, Washington","")," village, Washington","")</f>
        <v>Town and Country</v>
      </c>
      <c r="C579" t="s">
        <v>1833</v>
      </c>
      <c r="D579" t="s">
        <v>1131</v>
      </c>
    </row>
    <row r="580" spans="1:4">
      <c r="A580" t="s">
        <v>1134</v>
      </c>
      <c r="B580" t="str">
        <f>SUBSTITUTE(SUBSTITUTE(SUBSTITUTE(SUBSTITUTE(SUBSTITUTE(WA_CDPs[[#This Row],[NAME]]," Tribal Community CDP, Washington","")," CDP, Washington","")," city, Washington","")," town, Washington","")," village, Washington","")</f>
        <v>Tracyton</v>
      </c>
      <c r="C580" t="s">
        <v>1834</v>
      </c>
      <c r="D580" t="s">
        <v>1133</v>
      </c>
    </row>
    <row r="581" spans="1:4">
      <c r="A581" t="s">
        <v>1136</v>
      </c>
      <c r="B581" t="str">
        <f>SUBSTITUTE(SUBSTITUTE(SUBSTITUTE(SUBSTITUTE(SUBSTITUTE(WA_CDPs[[#This Row],[NAME]]," Tribal Community CDP, Washington","")," CDP, Washington","")," city, Washington","")," town, Washington","")," village, Washington","")</f>
        <v>Trout Lake</v>
      </c>
      <c r="C581" t="s">
        <v>1835</v>
      </c>
      <c r="D581" t="s">
        <v>1135</v>
      </c>
    </row>
    <row r="582" spans="1:4">
      <c r="A582" t="s">
        <v>1138</v>
      </c>
      <c r="B582" t="str">
        <f>SUBSTITUTE(SUBSTITUTE(SUBSTITUTE(SUBSTITUTE(SUBSTITUTE(WA_CDPs[[#This Row],[NAME]]," Tribal Community CDP, Washington","")," CDP, Washington","")," city, Washington","")," town, Washington","")," village, Washington","")</f>
        <v>Tukwila</v>
      </c>
      <c r="C582" t="s">
        <v>1836</v>
      </c>
      <c r="D582" t="s">
        <v>1137</v>
      </c>
    </row>
    <row r="583" spans="1:4">
      <c r="A583" t="s">
        <v>1140</v>
      </c>
      <c r="B583" t="str">
        <f>SUBSTITUTE(SUBSTITUTE(SUBSTITUTE(SUBSTITUTE(SUBSTITUTE(WA_CDPs[[#This Row],[NAME]]," Tribal Community CDP, Washington","")," CDP, Washington","")," city, Washington","")," town, Washington","")," village, Washington","")</f>
        <v>Tumwater</v>
      </c>
      <c r="C583" t="s">
        <v>1837</v>
      </c>
      <c r="D583" t="s">
        <v>1139</v>
      </c>
    </row>
    <row r="584" spans="1:4">
      <c r="A584" t="s">
        <v>1142</v>
      </c>
      <c r="B584" t="str">
        <f>SUBSTITUTE(SUBSTITUTE(SUBSTITUTE(SUBSTITUTE(SUBSTITUTE(WA_CDPs[[#This Row],[NAME]]," Tribal Community CDP, Washington","")," CDP, Washington","")," city, Washington","")," town, Washington","")," village, Washington","")</f>
        <v>Twin Lakes</v>
      </c>
      <c r="C584" t="s">
        <v>1838</v>
      </c>
      <c r="D584" t="s">
        <v>1141</v>
      </c>
    </row>
    <row r="585" spans="1:4">
      <c r="A585" t="s">
        <v>1144</v>
      </c>
      <c r="B585" t="str">
        <f>SUBSTITUTE(SUBSTITUTE(SUBSTITUTE(SUBSTITUTE(SUBSTITUTE(WA_CDPs[[#This Row],[NAME]]," Tribal Community CDP, Washington","")," CDP, Washington","")," city, Washington","")," town, Washington","")," village, Washington","")</f>
        <v>Twisp</v>
      </c>
      <c r="C585" t="s">
        <v>1839</v>
      </c>
      <c r="D585" t="s">
        <v>1143</v>
      </c>
    </row>
    <row r="586" spans="1:4">
      <c r="A586" t="s">
        <v>1146</v>
      </c>
      <c r="B586" t="str">
        <f>SUBSTITUTE(SUBSTITUTE(SUBSTITUTE(SUBSTITUTE(SUBSTITUTE(WA_CDPs[[#This Row],[NAME]]," Tribal Community CDP, Washington","")," CDP, Washington","")," city, Washington","")," town, Washington","")," village, Washington","")</f>
        <v>Union</v>
      </c>
      <c r="C586" t="s">
        <v>1840</v>
      </c>
      <c r="D586" t="s">
        <v>1145</v>
      </c>
    </row>
    <row r="587" spans="1:4">
      <c r="A587" t="s">
        <v>1148</v>
      </c>
      <c r="B587" t="str">
        <f>SUBSTITUTE(SUBSTITUTE(SUBSTITUTE(SUBSTITUTE(SUBSTITUTE(WA_CDPs[[#This Row],[NAME]]," Tribal Community CDP, Washington","")," CDP, Washington","")," city, Washington","")," town, Washington","")," village, Washington","")</f>
        <v>Union Gap</v>
      </c>
      <c r="C587" t="s">
        <v>1841</v>
      </c>
      <c r="D587" t="s">
        <v>1147</v>
      </c>
    </row>
    <row r="588" spans="1:4">
      <c r="A588" t="s">
        <v>1150</v>
      </c>
      <c r="B588" t="str">
        <f>SUBSTITUTE(SUBSTITUTE(SUBSTITUTE(SUBSTITUTE(SUBSTITUTE(WA_CDPs[[#This Row],[NAME]]," Tribal Community CDP, Washington","")," CDP, Washington","")," city, Washington","")," town, Washington","")," village, Washington","")</f>
        <v>Union Hill-Novelty Hill</v>
      </c>
      <c r="C588" t="s">
        <v>1842</v>
      </c>
      <c r="D588" t="s">
        <v>1149</v>
      </c>
    </row>
    <row r="589" spans="1:4">
      <c r="A589" t="s">
        <v>1152</v>
      </c>
      <c r="B589" t="str">
        <f>SUBSTITUTE(SUBSTITUTE(SUBSTITUTE(SUBSTITUTE(SUBSTITUTE(WA_CDPs[[#This Row],[NAME]]," Tribal Community CDP, Washington","")," CDP, Washington","")," city, Washington","")," town, Washington","")," village, Washington","")</f>
        <v>Uniontown</v>
      </c>
      <c r="C589" t="s">
        <v>1843</v>
      </c>
      <c r="D589" t="s">
        <v>1151</v>
      </c>
    </row>
    <row r="590" spans="1:4">
      <c r="A590" t="s">
        <v>1154</v>
      </c>
      <c r="B590" t="str">
        <f>SUBSTITUTE(SUBSTITUTE(SUBSTITUTE(SUBSTITUTE(SUBSTITUTE(WA_CDPs[[#This Row],[NAME]]," Tribal Community CDP, Washington","")," CDP, Washington","")," city, Washington","")," town, Washington","")," village, Washington","")</f>
        <v>University Place</v>
      </c>
      <c r="C590" t="s">
        <v>1844</v>
      </c>
      <c r="D590" t="s">
        <v>1153</v>
      </c>
    </row>
    <row r="591" spans="1:4">
      <c r="A591" t="s">
        <v>1156</v>
      </c>
      <c r="B591" t="str">
        <f>SUBSTITUTE(SUBSTITUTE(SUBSTITUTE(SUBSTITUTE(SUBSTITUTE(WA_CDPs[[#This Row],[NAME]]," Tribal Community CDP, Washington","")," CDP, Washington","")," city, Washington","")," town, Washington","")," village, Washington","")</f>
        <v>Upper Elochoman</v>
      </c>
      <c r="C591" t="s">
        <v>1845</v>
      </c>
      <c r="D591" t="s">
        <v>1155</v>
      </c>
    </row>
    <row r="592" spans="1:4">
      <c r="A592" t="s">
        <v>1158</v>
      </c>
      <c r="B592" t="str">
        <f>SUBSTITUTE(SUBSTITUTE(SUBSTITUTE(SUBSTITUTE(SUBSTITUTE(WA_CDPs[[#This Row],[NAME]]," Tribal Community CDP, Washington","")," CDP, Washington","")," city, Washington","")," town, Washington","")," village, Washington","")</f>
        <v>Vader</v>
      </c>
      <c r="C592" t="s">
        <v>1846</v>
      </c>
      <c r="D592" t="s">
        <v>1157</v>
      </c>
    </row>
    <row r="593" spans="1:4">
      <c r="A593" t="s">
        <v>1160</v>
      </c>
      <c r="B593" t="str">
        <f>SUBSTITUTE(SUBSTITUTE(SUBSTITUTE(SUBSTITUTE(SUBSTITUTE(WA_CDPs[[#This Row],[NAME]]," Tribal Community CDP, Washington","")," CDP, Washington","")," city, Washington","")," town, Washington","")," village, Washington","")</f>
        <v>Valley</v>
      </c>
      <c r="C593" t="s">
        <v>1847</v>
      </c>
      <c r="D593" t="s">
        <v>1159</v>
      </c>
    </row>
    <row r="594" spans="1:4">
      <c r="A594" t="s">
        <v>1162</v>
      </c>
      <c r="B594" t="str">
        <f>SUBSTITUTE(SUBSTITUTE(SUBSTITUTE(SUBSTITUTE(SUBSTITUTE(WA_CDPs[[#This Row],[NAME]]," Tribal Community CDP, Washington","")," CDP, Washington","")," city, Washington","")," town, Washington","")," village, Washington","")</f>
        <v>Vancouver</v>
      </c>
      <c r="C594" t="s">
        <v>1848</v>
      </c>
      <c r="D594" t="s">
        <v>1161</v>
      </c>
    </row>
    <row r="595" spans="1:4">
      <c r="A595" t="s">
        <v>1164</v>
      </c>
      <c r="B595" t="str">
        <f>SUBSTITUTE(SUBSTITUTE(SUBSTITUTE(SUBSTITUTE(SUBSTITUTE(WA_CDPs[[#This Row],[NAME]]," Tribal Community CDP, Washington","")," CDP, Washington","")," city, Washington","")," town, Washington","")," village, Washington","")</f>
        <v>Vantage</v>
      </c>
      <c r="C595" t="s">
        <v>1849</v>
      </c>
      <c r="D595" t="s">
        <v>1163</v>
      </c>
    </row>
    <row r="596" spans="1:4">
      <c r="A596" t="s">
        <v>1166</v>
      </c>
      <c r="B596" t="str">
        <f>SUBSTITUTE(SUBSTITUTE(SUBSTITUTE(SUBSTITUTE(SUBSTITUTE(WA_CDPs[[#This Row],[NAME]]," Tribal Community CDP, Washington","")," CDP, Washington","")," city, Washington","")," town, Washington","")," village, Washington","")</f>
        <v>Vashon</v>
      </c>
      <c r="C596" t="s">
        <v>1850</v>
      </c>
      <c r="D596" t="s">
        <v>1165</v>
      </c>
    </row>
    <row r="597" spans="1:4">
      <c r="A597" t="s">
        <v>1168</v>
      </c>
      <c r="B597" t="str">
        <f>SUBSTITUTE(SUBSTITUTE(SUBSTITUTE(SUBSTITUTE(SUBSTITUTE(WA_CDPs[[#This Row],[NAME]]," Tribal Community CDP, Washington","")," CDP, Washington","")," city, Washington","")," town, Washington","")," village, Washington","")</f>
        <v>Vaughn</v>
      </c>
      <c r="C597" t="s">
        <v>1851</v>
      </c>
      <c r="D597" t="s">
        <v>1167</v>
      </c>
    </row>
    <row r="598" spans="1:4">
      <c r="A598" t="s">
        <v>1170</v>
      </c>
      <c r="B598" t="str">
        <f>SUBSTITUTE(SUBSTITUTE(SUBSTITUTE(SUBSTITUTE(SUBSTITUTE(WA_CDPs[[#This Row],[NAME]]," Tribal Community CDP, Washington","")," CDP, Washington","")," city, Washington","")," town, Washington","")," village, Washington","")</f>
        <v>Venersborg</v>
      </c>
      <c r="C598" t="s">
        <v>1852</v>
      </c>
      <c r="D598" t="s">
        <v>1169</v>
      </c>
    </row>
    <row r="599" spans="1:4">
      <c r="A599" t="s">
        <v>1172</v>
      </c>
      <c r="B599" t="str">
        <f>SUBSTITUTE(SUBSTITUTE(SUBSTITUTE(SUBSTITUTE(SUBSTITUTE(WA_CDPs[[#This Row],[NAME]]," Tribal Community CDP, Washington","")," CDP, Washington","")," city, Washington","")," town, Washington","")," village, Washington","")</f>
        <v>Verlot</v>
      </c>
      <c r="C599" t="s">
        <v>1853</v>
      </c>
      <c r="D599" t="s">
        <v>1171</v>
      </c>
    </row>
    <row r="600" spans="1:4">
      <c r="A600" t="s">
        <v>1174</v>
      </c>
      <c r="B600" t="str">
        <f>SUBSTITUTE(SUBSTITUTE(SUBSTITUTE(SUBSTITUTE(SUBSTITUTE(WA_CDPs[[#This Row],[NAME]]," Tribal Community CDP, Washington","")," CDP, Washington","")," city, Washington","")," town, Washington","")," village, Washington","")</f>
        <v>Waitsburg</v>
      </c>
      <c r="C600" t="s">
        <v>1854</v>
      </c>
      <c r="D600" t="s">
        <v>1173</v>
      </c>
    </row>
    <row r="601" spans="1:4">
      <c r="A601" t="s">
        <v>1176</v>
      </c>
      <c r="B601" t="str">
        <f>SUBSTITUTE(SUBSTITUTE(SUBSTITUTE(SUBSTITUTE(SUBSTITUTE(WA_CDPs[[#This Row],[NAME]]," Tribal Community CDP, Washington","")," CDP, Washington","")," city, Washington","")," town, Washington","")," village, Washington","")</f>
        <v>Walla Walla</v>
      </c>
      <c r="C601" t="s">
        <v>1855</v>
      </c>
      <c r="D601" t="s">
        <v>1175</v>
      </c>
    </row>
    <row r="602" spans="1:4">
      <c r="A602" t="s">
        <v>1178</v>
      </c>
      <c r="B602" t="str">
        <f>SUBSTITUTE(SUBSTITUTE(SUBSTITUTE(SUBSTITUTE(SUBSTITUTE(WA_CDPs[[#This Row],[NAME]]," Tribal Community CDP, Washington","")," CDP, Washington","")," city, Washington","")," town, Washington","")," village, Washington","")</f>
        <v>Walla Walla East</v>
      </c>
      <c r="C602" t="s">
        <v>1856</v>
      </c>
      <c r="D602" t="s">
        <v>1177</v>
      </c>
    </row>
    <row r="603" spans="1:4">
      <c r="A603" t="s">
        <v>1180</v>
      </c>
      <c r="B603" t="str">
        <f>SUBSTITUTE(SUBSTITUTE(SUBSTITUTE(SUBSTITUTE(SUBSTITUTE(WA_CDPs[[#This Row],[NAME]]," Tribal Community CDP, Washington","")," CDP, Washington","")," city, Washington","")," town, Washington","")," village, Washington","")</f>
        <v>Waller</v>
      </c>
      <c r="C603" t="s">
        <v>1857</v>
      </c>
      <c r="D603" t="s">
        <v>1179</v>
      </c>
    </row>
    <row r="604" spans="1:4">
      <c r="A604" t="s">
        <v>1182</v>
      </c>
      <c r="B604" t="str">
        <f>SUBSTITUTE(SUBSTITUTE(SUBSTITUTE(SUBSTITUTE(SUBSTITUTE(WA_CDPs[[#This Row],[NAME]]," Tribal Community CDP, Washington","")," CDP, Washington","")," city, Washington","")," town, Washington","")," village, Washington","")</f>
        <v>Wallula</v>
      </c>
      <c r="C604" t="s">
        <v>1858</v>
      </c>
      <c r="D604" t="s">
        <v>1181</v>
      </c>
    </row>
    <row r="605" spans="1:4">
      <c r="A605" t="s">
        <v>1184</v>
      </c>
      <c r="B605" t="str">
        <f>SUBSTITUTE(SUBSTITUTE(SUBSTITUTE(SUBSTITUTE(SUBSTITUTE(WA_CDPs[[#This Row],[NAME]]," Tribal Community CDP, Washington","")," CDP, Washington","")," city, Washington","")," town, Washington","")," village, Washington","")</f>
        <v>Wapato</v>
      </c>
      <c r="C605" t="s">
        <v>1859</v>
      </c>
      <c r="D605" t="s">
        <v>1183</v>
      </c>
    </row>
    <row r="606" spans="1:4">
      <c r="A606" t="s">
        <v>1186</v>
      </c>
      <c r="B606" t="str">
        <f>SUBSTITUTE(SUBSTITUTE(SUBSTITUTE(SUBSTITUTE(SUBSTITUTE(WA_CDPs[[#This Row],[NAME]]," Tribal Community CDP, Washington","")," CDP, Washington","")," city, Washington","")," town, Washington","")," village, Washington","")</f>
        <v>Warden</v>
      </c>
      <c r="C606" t="s">
        <v>1860</v>
      </c>
      <c r="D606" t="s">
        <v>1185</v>
      </c>
    </row>
    <row r="607" spans="1:4">
      <c r="A607" t="s">
        <v>1188</v>
      </c>
      <c r="B607" t="str">
        <f>SUBSTITUTE(SUBSTITUTE(SUBSTITUTE(SUBSTITUTE(SUBSTITUTE(WA_CDPs[[#This Row],[NAME]]," Tribal Community CDP, Washington","")," CDP, Washington","")," city, Washington","")," town, Washington","")," village, Washington","")</f>
        <v>Warm Beach</v>
      </c>
      <c r="C607" t="s">
        <v>1861</v>
      </c>
      <c r="D607" t="s">
        <v>1187</v>
      </c>
    </row>
    <row r="608" spans="1:4">
      <c r="A608" t="s">
        <v>1190</v>
      </c>
      <c r="B608" t="str">
        <f>SUBSTITUTE(SUBSTITUTE(SUBSTITUTE(SUBSTITUTE(SUBSTITUTE(WA_CDPs[[#This Row],[NAME]]," Tribal Community CDP, Washington","")," CDP, Washington","")," city, Washington","")," town, Washington","")," village, Washington","")</f>
        <v>Washougal</v>
      </c>
      <c r="C608" t="s">
        <v>1862</v>
      </c>
      <c r="D608" t="s">
        <v>1189</v>
      </c>
    </row>
    <row r="609" spans="1:4">
      <c r="A609" t="s">
        <v>1192</v>
      </c>
      <c r="B609" t="str">
        <f>SUBSTITUTE(SUBSTITUTE(SUBSTITUTE(SUBSTITUTE(SUBSTITUTE(WA_CDPs[[#This Row],[NAME]]," Tribal Community CDP, Washington","")," CDP, Washington","")," city, Washington","")," town, Washington","")," village, Washington","")</f>
        <v>Washtucna</v>
      </c>
      <c r="C609" t="s">
        <v>1863</v>
      </c>
      <c r="D609" t="s">
        <v>1191</v>
      </c>
    </row>
    <row r="610" spans="1:4">
      <c r="A610" t="s">
        <v>1194</v>
      </c>
      <c r="B610" t="str">
        <f>SUBSTITUTE(SUBSTITUTE(SUBSTITUTE(SUBSTITUTE(SUBSTITUTE(WA_CDPs[[#This Row],[NAME]]," Tribal Community CDP, Washington","")," CDP, Washington","")," city, Washington","")," town, Washington","")," village, Washington","")</f>
        <v>Waterville</v>
      </c>
      <c r="C610" t="s">
        <v>1864</v>
      </c>
      <c r="D610" t="s">
        <v>1193</v>
      </c>
    </row>
    <row r="611" spans="1:4">
      <c r="A611" t="s">
        <v>1196</v>
      </c>
      <c r="B611" t="str">
        <f>SUBSTITUTE(SUBSTITUTE(SUBSTITUTE(SUBSTITUTE(SUBSTITUTE(WA_CDPs[[#This Row],[NAME]]," Tribal Community CDP, Washington","")," CDP, Washington","")," city, Washington","")," town, Washington","")," village, Washington","")</f>
        <v>Wauna</v>
      </c>
      <c r="C611" t="s">
        <v>1865</v>
      </c>
      <c r="D611" t="s">
        <v>1195</v>
      </c>
    </row>
    <row r="612" spans="1:4">
      <c r="A612" t="s">
        <v>1198</v>
      </c>
      <c r="B612" t="str">
        <f>SUBSTITUTE(SUBSTITUTE(SUBSTITUTE(SUBSTITUTE(SUBSTITUTE(WA_CDPs[[#This Row],[NAME]]," Tribal Community CDP, Washington","")," CDP, Washington","")," city, Washington","")," town, Washington","")," village, Washington","")</f>
        <v>Waverly</v>
      </c>
      <c r="C612" t="s">
        <v>1866</v>
      </c>
      <c r="D612" t="s">
        <v>1197</v>
      </c>
    </row>
    <row r="613" spans="1:4">
      <c r="A613" t="s">
        <v>1200</v>
      </c>
      <c r="B613" t="str">
        <f>SUBSTITUTE(SUBSTITUTE(SUBSTITUTE(SUBSTITUTE(SUBSTITUTE(WA_CDPs[[#This Row],[NAME]]," Tribal Community CDP, Washington","")," CDP, Washington","")," city, Washington","")," town, Washington","")," village, Washington","")</f>
        <v>Wenatchee</v>
      </c>
      <c r="C613" t="s">
        <v>1867</v>
      </c>
      <c r="D613" t="s">
        <v>1199</v>
      </c>
    </row>
    <row r="614" spans="1:4">
      <c r="A614" t="s">
        <v>1202</v>
      </c>
      <c r="B614" t="str">
        <f>SUBSTITUTE(SUBSTITUTE(SUBSTITUTE(SUBSTITUTE(SUBSTITUTE(WA_CDPs[[#This Row],[NAME]]," Tribal Community CDP, Washington","")," CDP, Washington","")," city, Washington","")," town, Washington","")," village, Washington","")</f>
        <v>West Clarkston-Highland</v>
      </c>
      <c r="C614" t="s">
        <v>1868</v>
      </c>
      <c r="D614" t="s">
        <v>1201</v>
      </c>
    </row>
    <row r="615" spans="1:4">
      <c r="A615" t="s">
        <v>1204</v>
      </c>
      <c r="B615" t="str">
        <f>SUBSTITUTE(SUBSTITUTE(SUBSTITUTE(SUBSTITUTE(SUBSTITUTE(WA_CDPs[[#This Row],[NAME]]," Tribal Community CDP, Washington","")," CDP, Washington","")," city, Washington","")," town, Washington","")," village, Washington","")</f>
        <v>West Pasco</v>
      </c>
      <c r="C615" t="s">
        <v>1869</v>
      </c>
      <c r="D615" t="s">
        <v>1203</v>
      </c>
    </row>
    <row r="616" spans="1:4">
      <c r="A616" t="s">
        <v>1206</v>
      </c>
      <c r="B616" t="str">
        <f>SUBSTITUTE(SUBSTITUTE(SUBSTITUTE(SUBSTITUTE(SUBSTITUTE(WA_CDPs[[#This Row],[NAME]]," Tribal Community CDP, Washington","")," CDP, Washington","")," city, Washington","")," town, Washington","")," village, Washington","")</f>
        <v>Westport</v>
      </c>
      <c r="C616" t="s">
        <v>1870</v>
      </c>
      <c r="D616" t="s">
        <v>1205</v>
      </c>
    </row>
    <row r="617" spans="1:4">
      <c r="A617" t="s">
        <v>1208</v>
      </c>
      <c r="B617" t="str">
        <f>SUBSTITUTE(SUBSTITUTE(SUBSTITUTE(SUBSTITUTE(SUBSTITUTE(WA_CDPs[[#This Row],[NAME]]," Tribal Community CDP, Washington","")," CDP, Washington","")," city, Washington","")," town, Washington","")," village, Washington","")</f>
        <v>West Richland</v>
      </c>
      <c r="C617" t="s">
        <v>1871</v>
      </c>
      <c r="D617" t="s">
        <v>1207</v>
      </c>
    </row>
    <row r="618" spans="1:4">
      <c r="A618" t="s">
        <v>2466</v>
      </c>
      <c r="B618" t="str">
        <f>SUBSTITUTE(SUBSTITUTE(SUBSTITUTE(SUBSTITUTE(SUBSTITUTE(WA_CDPs[[#This Row],[NAME]]," Tribal Community CDP, Washington","")," CDP, Washington","")," city, Washington","")," town, Washington","")," village, Washington","")</f>
        <v>Wheeler</v>
      </c>
      <c r="C618" t="s">
        <v>2465</v>
      </c>
      <c r="D618" t="e">
        <v>#N/A</v>
      </c>
    </row>
    <row r="619" spans="1:4">
      <c r="A619" t="s">
        <v>1210</v>
      </c>
      <c r="B619" t="str">
        <f>SUBSTITUTE(SUBSTITUTE(SUBSTITUTE(SUBSTITUTE(SUBSTITUTE(WA_CDPs[[#This Row],[NAME]]," Tribal Community CDP, Washington","")," CDP, Washington","")," city, Washington","")," town, Washington","")," village, Washington","")</f>
        <v>Whidbey Island Station</v>
      </c>
      <c r="C619" t="s">
        <v>1872</v>
      </c>
      <c r="D619" t="s">
        <v>1209</v>
      </c>
    </row>
    <row r="620" spans="1:4">
      <c r="A620" t="s">
        <v>1212</v>
      </c>
      <c r="B620" t="str">
        <f>SUBSTITUTE(SUBSTITUTE(SUBSTITUTE(SUBSTITUTE(SUBSTITUTE(WA_CDPs[[#This Row],[NAME]]," Tribal Community CDP, Washington","")," CDP, Washington","")," city, Washington","")," town, Washington","")," village, Washington","")</f>
        <v>White Center</v>
      </c>
      <c r="C620" t="s">
        <v>1873</v>
      </c>
      <c r="D620" t="s">
        <v>1211</v>
      </c>
    </row>
    <row r="621" spans="1:4">
      <c r="A621" t="s">
        <v>1214</v>
      </c>
      <c r="B621" t="str">
        <f>SUBSTITUTE(SUBSTITUTE(SUBSTITUTE(SUBSTITUTE(SUBSTITUTE(WA_CDPs[[#This Row],[NAME]]," Tribal Community CDP, Washington","")," CDP, Washington","")," city, Washington","")," town, Washington","")," village, Washington","")</f>
        <v>White Salmon</v>
      </c>
      <c r="C621" t="s">
        <v>1874</v>
      </c>
      <c r="D621" t="s">
        <v>1213</v>
      </c>
    </row>
    <row r="622" spans="1:4">
      <c r="A622" t="s">
        <v>1216</v>
      </c>
      <c r="B622" t="str">
        <f>SUBSTITUTE(SUBSTITUTE(SUBSTITUTE(SUBSTITUTE(SUBSTITUTE(WA_CDPs[[#This Row],[NAME]]," Tribal Community CDP, Washington","")," CDP, Washington","")," city, Washington","")," town, Washington","")," village, Washington","")</f>
        <v>White Swan</v>
      </c>
      <c r="C622" t="s">
        <v>1875</v>
      </c>
      <c r="D622" t="s">
        <v>1215</v>
      </c>
    </row>
    <row r="623" spans="1:4">
      <c r="A623" t="s">
        <v>1218</v>
      </c>
      <c r="B623" t="str">
        <f>SUBSTITUTE(SUBSTITUTE(SUBSTITUTE(SUBSTITUTE(SUBSTITUTE(WA_CDPs[[#This Row],[NAME]]," Tribal Community CDP, Washington","")," CDP, Washington","")," city, Washington","")," town, Washington","")," village, Washington","")</f>
        <v>Wilbur</v>
      </c>
      <c r="C623" t="s">
        <v>1876</v>
      </c>
      <c r="D623" t="s">
        <v>1217</v>
      </c>
    </row>
    <row r="624" spans="1:4">
      <c r="A624" t="s">
        <v>1220</v>
      </c>
      <c r="B624" t="str">
        <f>SUBSTITUTE(SUBSTITUTE(SUBSTITUTE(SUBSTITUTE(SUBSTITUTE(WA_CDPs[[#This Row],[NAME]]," Tribal Community CDP, Washington","")," CDP, Washington","")," city, Washington","")," town, Washington","")," village, Washington","")</f>
        <v>Wilderness Rim</v>
      </c>
      <c r="C624" t="s">
        <v>1877</v>
      </c>
      <c r="D624" t="s">
        <v>1219</v>
      </c>
    </row>
    <row r="625" spans="1:4">
      <c r="A625" t="s">
        <v>1222</v>
      </c>
      <c r="B625" t="str">
        <f>SUBSTITUTE(SUBSTITUTE(SUBSTITUTE(SUBSTITUTE(SUBSTITUTE(WA_CDPs[[#This Row],[NAME]]," Tribal Community CDP, Washington","")," CDP, Washington","")," city, Washington","")," town, Washington","")," village, Washington","")</f>
        <v>Wilkeson</v>
      </c>
      <c r="C625" t="s">
        <v>1878</v>
      </c>
      <c r="D625" t="s">
        <v>1221</v>
      </c>
    </row>
    <row r="626" spans="1:4">
      <c r="A626" t="s">
        <v>1224</v>
      </c>
      <c r="B626" t="str">
        <f>SUBSTITUTE(SUBSTITUTE(SUBSTITUTE(SUBSTITUTE(SUBSTITUTE(WA_CDPs[[#This Row],[NAME]]," Tribal Community CDP, Washington","")," CDP, Washington","")," city, Washington","")," town, Washington","")," village, Washington","")</f>
        <v>Willapa</v>
      </c>
      <c r="C626" t="s">
        <v>1879</v>
      </c>
      <c r="D626" t="s">
        <v>1223</v>
      </c>
    </row>
    <row r="627" spans="1:4">
      <c r="A627" t="s">
        <v>1226</v>
      </c>
      <c r="B627" t="str">
        <f>SUBSTITUTE(SUBSTITUTE(SUBSTITUTE(SUBSTITUTE(SUBSTITUTE(WA_CDPs[[#This Row],[NAME]]," Tribal Community CDP, Washington","")," CDP, Washington","")," city, Washington","")," town, Washington","")," village, Washington","")</f>
        <v>Wilson Creek</v>
      </c>
      <c r="C627" t="s">
        <v>1880</v>
      </c>
      <c r="D627" t="s">
        <v>1225</v>
      </c>
    </row>
    <row r="628" spans="1:4">
      <c r="A628" t="s">
        <v>1228</v>
      </c>
      <c r="B628" t="str">
        <f>SUBSTITUTE(SUBSTITUTE(SUBSTITUTE(SUBSTITUTE(SUBSTITUTE(WA_CDPs[[#This Row],[NAME]]," Tribal Community CDP, Washington","")," CDP, Washington","")," city, Washington","")," town, Washington","")," village, Washington","")</f>
        <v>Winlock</v>
      </c>
      <c r="C628" t="s">
        <v>1881</v>
      </c>
      <c r="D628" t="s">
        <v>1227</v>
      </c>
    </row>
    <row r="629" spans="1:4">
      <c r="A629" t="s">
        <v>1230</v>
      </c>
      <c r="B629" t="str">
        <f>SUBSTITUTE(SUBSTITUTE(SUBSTITUTE(SUBSTITUTE(SUBSTITUTE(WA_CDPs[[#This Row],[NAME]]," Tribal Community CDP, Washington","")," CDP, Washington","")," city, Washington","")," town, Washington","")," village, Washington","")</f>
        <v>Winthrop</v>
      </c>
      <c r="C629" t="s">
        <v>1882</v>
      </c>
      <c r="D629" t="s">
        <v>1229</v>
      </c>
    </row>
    <row r="630" spans="1:4">
      <c r="A630" t="s">
        <v>1232</v>
      </c>
      <c r="B630" t="str">
        <f>SUBSTITUTE(SUBSTITUTE(SUBSTITUTE(SUBSTITUTE(SUBSTITUTE(WA_CDPs[[#This Row],[NAME]]," Tribal Community CDP, Washington","")," CDP, Washington","")," city, Washington","")," town, Washington","")," village, Washington","")</f>
        <v>Wishram</v>
      </c>
      <c r="C630" t="s">
        <v>1883</v>
      </c>
      <c r="D630" t="s">
        <v>1231</v>
      </c>
    </row>
    <row r="631" spans="1:4">
      <c r="A631" t="s">
        <v>1234</v>
      </c>
      <c r="B631" t="str">
        <f>SUBSTITUTE(SUBSTITUTE(SUBSTITUTE(SUBSTITUTE(SUBSTITUTE(WA_CDPs[[#This Row],[NAME]]," Tribal Community CDP, Washington","")," CDP, Washington","")," city, Washington","")," town, Washington","")," village, Washington","")</f>
        <v>Wollochet</v>
      </c>
      <c r="C631" t="s">
        <v>1884</v>
      </c>
      <c r="D631" t="s">
        <v>1233</v>
      </c>
    </row>
    <row r="632" spans="1:4">
      <c r="A632" t="s">
        <v>1236</v>
      </c>
      <c r="B632" t="str">
        <f>SUBSTITUTE(SUBSTITUTE(SUBSTITUTE(SUBSTITUTE(SUBSTITUTE(WA_CDPs[[#This Row],[NAME]]," Tribal Community CDP, Washington","")," CDP, Washington","")," city, Washington","")," town, Washington","")," village, Washington","")</f>
        <v>Woodinville</v>
      </c>
      <c r="C632" t="s">
        <v>1885</v>
      </c>
      <c r="D632" t="s">
        <v>1235</v>
      </c>
    </row>
    <row r="633" spans="1:4">
      <c r="A633" t="s">
        <v>1238</v>
      </c>
      <c r="B633" t="str">
        <f>SUBSTITUTE(SUBSTITUTE(SUBSTITUTE(SUBSTITUTE(SUBSTITUTE(WA_CDPs[[#This Row],[NAME]]," Tribal Community CDP, Washington","")," CDP, Washington","")," city, Washington","")," town, Washington","")," village, Washington","")</f>
        <v>Woodland</v>
      </c>
      <c r="C633" t="s">
        <v>1886</v>
      </c>
      <c r="D633" t="s">
        <v>1237</v>
      </c>
    </row>
    <row r="634" spans="1:4">
      <c r="A634" t="s">
        <v>1240</v>
      </c>
      <c r="B634" t="str">
        <f>SUBSTITUTE(SUBSTITUTE(SUBSTITUTE(SUBSTITUTE(SUBSTITUTE(WA_CDPs[[#This Row],[NAME]]," Tribal Community CDP, Washington","")," CDP, Washington","")," city, Washington","")," town, Washington","")," village, Washington","")</f>
        <v>Woods Creek</v>
      </c>
      <c r="C634" t="s">
        <v>1887</v>
      </c>
      <c r="D634" t="s">
        <v>1239</v>
      </c>
    </row>
    <row r="635" spans="1:4">
      <c r="A635" t="s">
        <v>1242</v>
      </c>
      <c r="B635" t="str">
        <f>SUBSTITUTE(SUBSTITUTE(SUBSTITUTE(SUBSTITUTE(SUBSTITUTE(WA_CDPs[[#This Row],[NAME]]," Tribal Community CDP, Washington","")," CDP, Washington","")," city, Washington","")," town, Washington","")," village, Washington","")</f>
        <v>Woodway</v>
      </c>
      <c r="C635" t="s">
        <v>1888</v>
      </c>
      <c r="D635" t="s">
        <v>1241</v>
      </c>
    </row>
    <row r="636" spans="1:4">
      <c r="A636" t="s">
        <v>1244</v>
      </c>
      <c r="B636" t="str">
        <f>SUBSTITUTE(SUBSTITUTE(SUBSTITUTE(SUBSTITUTE(SUBSTITUTE(WA_CDPs[[#This Row],[NAME]]," Tribal Community CDP, Washington","")," CDP, Washington","")," city, Washington","")," town, Washington","")," village, Washington","")</f>
        <v>Yacolt</v>
      </c>
      <c r="C636" t="s">
        <v>1889</v>
      </c>
      <c r="D636" t="s">
        <v>1243</v>
      </c>
    </row>
    <row r="637" spans="1:4">
      <c r="A637" t="s">
        <v>1246</v>
      </c>
      <c r="B637" t="str">
        <f>SUBSTITUTE(SUBSTITUTE(SUBSTITUTE(SUBSTITUTE(SUBSTITUTE(WA_CDPs[[#This Row],[NAME]]," Tribal Community CDP, Washington","")," CDP, Washington","")," city, Washington","")," town, Washington","")," village, Washington","")</f>
        <v>Yakima</v>
      </c>
      <c r="C637" t="s">
        <v>1890</v>
      </c>
      <c r="D637" t="s">
        <v>1245</v>
      </c>
    </row>
    <row r="638" spans="1:4">
      <c r="A638" t="s">
        <v>1248</v>
      </c>
      <c r="B638" t="str">
        <f>SUBSTITUTE(SUBSTITUTE(SUBSTITUTE(SUBSTITUTE(SUBSTITUTE(WA_CDPs[[#This Row],[NAME]]," Tribal Community CDP, Washington","")," CDP, Washington","")," city, Washington","")," town, Washington","")," village, Washington","")</f>
        <v>Yarrow Point</v>
      </c>
      <c r="C638" t="s">
        <v>1891</v>
      </c>
      <c r="D638" t="s">
        <v>1247</v>
      </c>
    </row>
    <row r="639" spans="1:4">
      <c r="A639" t="s">
        <v>1250</v>
      </c>
      <c r="B639" t="str">
        <f>SUBSTITUTE(SUBSTITUTE(SUBSTITUTE(SUBSTITUTE(SUBSTITUTE(WA_CDPs[[#This Row],[NAME]]," Tribal Community CDP, Washington","")," CDP, Washington","")," city, Washington","")," town, Washington","")," village, Washington","")</f>
        <v>Yelm</v>
      </c>
      <c r="C639" t="s">
        <v>1892</v>
      </c>
      <c r="D639" t="s">
        <v>1249</v>
      </c>
    </row>
    <row r="640" spans="1:4">
      <c r="A640" t="s">
        <v>1252</v>
      </c>
      <c r="B640" t="str">
        <f>SUBSTITUTE(SUBSTITUTE(SUBSTITUTE(SUBSTITUTE(SUBSTITUTE(WA_CDPs[[#This Row],[NAME]]," Tribal Community CDP, Washington","")," CDP, Washington","")," city, Washington","")," town, Washington","")," village, Washington","")</f>
        <v>Zillah</v>
      </c>
      <c r="C640" t="s">
        <v>1893</v>
      </c>
      <c r="D640" t="s">
        <v>1251</v>
      </c>
    </row>
  </sheetData>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3" tint="-0.499984740745262"/>
  </sheetPr>
  <dimension ref="A1:D40"/>
  <sheetViews>
    <sheetView workbookViewId="0"/>
  </sheetViews>
  <sheetFormatPr defaultColWidth="9" defaultRowHeight="14.25"/>
  <cols>
    <col min="1" max="2" width="38.625" customWidth="1"/>
    <col min="3" max="3" width="17.25" customWidth="1"/>
    <col min="4" max="4" width="14.625" customWidth="1"/>
  </cols>
  <sheetData>
    <row r="1" spans="1:4" s="111" customFormat="1" ht="15">
      <c r="A1" s="111" t="s">
        <v>1985</v>
      </c>
      <c r="B1" s="111" t="s">
        <v>2679</v>
      </c>
      <c r="C1" s="111" t="s">
        <v>1984</v>
      </c>
      <c r="D1" s="111" t="s">
        <v>2676</v>
      </c>
    </row>
    <row r="2" spans="1:4">
      <c r="A2" t="s">
        <v>1899</v>
      </c>
      <c r="B2" t="str">
        <f>SUBSTITUTE(WA_Counties[[#This Row],[NAME]],", Washington","")</f>
        <v>Adams County</v>
      </c>
      <c r="C2" t="s">
        <v>1898</v>
      </c>
      <c r="D2" t="s">
        <v>2366</v>
      </c>
    </row>
    <row r="3" spans="1:4">
      <c r="A3" t="s">
        <v>1901</v>
      </c>
      <c r="B3" t="str">
        <f>SUBSTITUTE(WA_Counties[[#This Row],[NAME]],", Washington","")</f>
        <v>Asotin County</v>
      </c>
      <c r="C3" t="s">
        <v>1900</v>
      </c>
      <c r="D3" t="s">
        <v>2367</v>
      </c>
    </row>
    <row r="4" spans="1:4">
      <c r="A4" t="s">
        <v>1903</v>
      </c>
      <c r="B4" t="str">
        <f>SUBSTITUTE(WA_Counties[[#This Row],[NAME]],", Washington","")</f>
        <v>Benton County</v>
      </c>
      <c r="C4" t="s">
        <v>1902</v>
      </c>
      <c r="D4" t="s">
        <v>2368</v>
      </c>
    </row>
    <row r="5" spans="1:4">
      <c r="A5" t="s">
        <v>1905</v>
      </c>
      <c r="B5" t="str">
        <f>SUBSTITUTE(WA_Counties[[#This Row],[NAME]],", Washington","")</f>
        <v>Chelan County</v>
      </c>
      <c r="C5" t="s">
        <v>1904</v>
      </c>
      <c r="D5" t="s">
        <v>2369</v>
      </c>
    </row>
    <row r="6" spans="1:4">
      <c r="A6" t="s">
        <v>1907</v>
      </c>
      <c r="B6" t="str">
        <f>SUBSTITUTE(WA_Counties[[#This Row],[NAME]],", Washington","")</f>
        <v>Clallam County</v>
      </c>
      <c r="C6" t="s">
        <v>1906</v>
      </c>
      <c r="D6" t="s">
        <v>2370</v>
      </c>
    </row>
    <row r="7" spans="1:4">
      <c r="A7" t="s">
        <v>1909</v>
      </c>
      <c r="B7" t="str">
        <f>SUBSTITUTE(WA_Counties[[#This Row],[NAME]],", Washington","")</f>
        <v>Clark County</v>
      </c>
      <c r="C7" t="s">
        <v>1908</v>
      </c>
      <c r="D7" t="s">
        <v>2371</v>
      </c>
    </row>
    <row r="8" spans="1:4">
      <c r="A8" t="s">
        <v>1911</v>
      </c>
      <c r="B8" t="str">
        <f>SUBSTITUTE(WA_Counties[[#This Row],[NAME]],", Washington","")</f>
        <v>Columbia County</v>
      </c>
      <c r="C8" t="s">
        <v>1910</v>
      </c>
      <c r="D8" t="s">
        <v>2372</v>
      </c>
    </row>
    <row r="9" spans="1:4">
      <c r="A9" t="s">
        <v>1913</v>
      </c>
      <c r="B9" t="str">
        <f>SUBSTITUTE(WA_Counties[[#This Row],[NAME]],", Washington","")</f>
        <v>Cowlitz County</v>
      </c>
      <c r="C9" t="s">
        <v>1912</v>
      </c>
      <c r="D9" t="s">
        <v>2373</v>
      </c>
    </row>
    <row r="10" spans="1:4">
      <c r="A10" t="s">
        <v>1915</v>
      </c>
      <c r="B10" t="str">
        <f>SUBSTITUTE(WA_Counties[[#This Row],[NAME]],", Washington","")</f>
        <v>Douglas County</v>
      </c>
      <c r="C10" t="s">
        <v>1914</v>
      </c>
      <c r="D10" t="s">
        <v>2374</v>
      </c>
    </row>
    <row r="11" spans="1:4">
      <c r="A11" t="s">
        <v>1917</v>
      </c>
      <c r="B11" t="str">
        <f>SUBSTITUTE(WA_Counties[[#This Row],[NAME]],", Washington","")</f>
        <v>Ferry County</v>
      </c>
      <c r="C11" t="s">
        <v>1916</v>
      </c>
      <c r="D11" t="s">
        <v>2375</v>
      </c>
    </row>
    <row r="12" spans="1:4">
      <c r="A12" t="s">
        <v>1919</v>
      </c>
      <c r="B12" t="str">
        <f>SUBSTITUTE(WA_Counties[[#This Row],[NAME]],", Washington","")</f>
        <v>Franklin County</v>
      </c>
      <c r="C12" t="s">
        <v>1918</v>
      </c>
      <c r="D12" t="s">
        <v>2376</v>
      </c>
    </row>
    <row r="13" spans="1:4">
      <c r="A13" t="s">
        <v>1921</v>
      </c>
      <c r="B13" t="str">
        <f>SUBSTITUTE(WA_Counties[[#This Row],[NAME]],", Washington","")</f>
        <v>Garfield County</v>
      </c>
      <c r="C13" t="s">
        <v>1920</v>
      </c>
      <c r="D13" t="s">
        <v>2377</v>
      </c>
    </row>
    <row r="14" spans="1:4">
      <c r="A14" t="s">
        <v>1923</v>
      </c>
      <c r="B14" t="str">
        <f>SUBSTITUTE(WA_Counties[[#This Row],[NAME]],", Washington","")</f>
        <v>Grant County</v>
      </c>
      <c r="C14" t="s">
        <v>1922</v>
      </c>
      <c r="D14" t="s">
        <v>2378</v>
      </c>
    </row>
    <row r="15" spans="1:4">
      <c r="A15" t="s">
        <v>1925</v>
      </c>
      <c r="B15" t="str">
        <f>SUBSTITUTE(WA_Counties[[#This Row],[NAME]],", Washington","")</f>
        <v>Grays Harbor County</v>
      </c>
      <c r="C15" t="s">
        <v>1924</v>
      </c>
      <c r="D15" t="s">
        <v>2379</v>
      </c>
    </row>
    <row r="16" spans="1:4">
      <c r="A16" t="s">
        <v>1927</v>
      </c>
      <c r="B16" t="str">
        <f>SUBSTITUTE(WA_Counties[[#This Row],[NAME]],", Washington","")</f>
        <v>Island County</v>
      </c>
      <c r="C16" t="s">
        <v>1926</v>
      </c>
      <c r="D16" t="s">
        <v>2380</v>
      </c>
    </row>
    <row r="17" spans="1:4">
      <c r="A17" t="s">
        <v>1929</v>
      </c>
      <c r="B17" t="str">
        <f>SUBSTITUTE(WA_Counties[[#This Row],[NAME]],", Washington","")</f>
        <v>Jefferson County</v>
      </c>
      <c r="C17" t="s">
        <v>1928</v>
      </c>
      <c r="D17" t="s">
        <v>2381</v>
      </c>
    </row>
    <row r="18" spans="1:4">
      <c r="A18" t="s">
        <v>1931</v>
      </c>
      <c r="B18" t="str">
        <f>SUBSTITUTE(WA_Counties[[#This Row],[NAME]],", Washington","")</f>
        <v>King County</v>
      </c>
      <c r="C18" t="s">
        <v>1930</v>
      </c>
      <c r="D18" t="s">
        <v>2382</v>
      </c>
    </row>
    <row r="19" spans="1:4">
      <c r="A19" t="s">
        <v>1933</v>
      </c>
      <c r="B19" t="str">
        <f>SUBSTITUTE(WA_Counties[[#This Row],[NAME]],", Washington","")</f>
        <v>Kitsap County</v>
      </c>
      <c r="C19" t="s">
        <v>1932</v>
      </c>
      <c r="D19" t="s">
        <v>2383</v>
      </c>
    </row>
    <row r="20" spans="1:4">
      <c r="A20" t="s">
        <v>1935</v>
      </c>
      <c r="B20" t="str">
        <f>SUBSTITUTE(WA_Counties[[#This Row],[NAME]],", Washington","")</f>
        <v>Kittitas County</v>
      </c>
      <c r="C20" t="s">
        <v>1934</v>
      </c>
      <c r="D20" t="s">
        <v>2384</v>
      </c>
    </row>
    <row r="21" spans="1:4">
      <c r="A21" t="s">
        <v>1937</v>
      </c>
      <c r="B21" t="str">
        <f>SUBSTITUTE(WA_Counties[[#This Row],[NAME]],", Washington","")</f>
        <v>Klickitat County</v>
      </c>
      <c r="C21" t="s">
        <v>1936</v>
      </c>
      <c r="D21" t="s">
        <v>2385</v>
      </c>
    </row>
    <row r="22" spans="1:4">
      <c r="A22" t="s">
        <v>1939</v>
      </c>
      <c r="B22" t="str">
        <f>SUBSTITUTE(WA_Counties[[#This Row],[NAME]],", Washington","")</f>
        <v>Lewis County</v>
      </c>
      <c r="C22" t="s">
        <v>1938</v>
      </c>
      <c r="D22" t="s">
        <v>2386</v>
      </c>
    </row>
    <row r="23" spans="1:4">
      <c r="A23" t="s">
        <v>1941</v>
      </c>
      <c r="B23" t="str">
        <f>SUBSTITUTE(WA_Counties[[#This Row],[NAME]],", Washington","")</f>
        <v>Lincoln County</v>
      </c>
      <c r="C23" t="s">
        <v>1940</v>
      </c>
      <c r="D23" t="s">
        <v>2387</v>
      </c>
    </row>
    <row r="24" spans="1:4">
      <c r="A24" t="s">
        <v>1943</v>
      </c>
      <c r="B24" t="str">
        <f>SUBSTITUTE(WA_Counties[[#This Row],[NAME]],", Washington","")</f>
        <v>Mason County</v>
      </c>
      <c r="C24" t="s">
        <v>1942</v>
      </c>
      <c r="D24" t="s">
        <v>2388</v>
      </c>
    </row>
    <row r="25" spans="1:4">
      <c r="A25" t="s">
        <v>1945</v>
      </c>
      <c r="B25" t="str">
        <f>SUBSTITUTE(WA_Counties[[#This Row],[NAME]],", Washington","")</f>
        <v>Okanogan County</v>
      </c>
      <c r="C25" t="s">
        <v>1944</v>
      </c>
      <c r="D25" t="s">
        <v>2389</v>
      </c>
    </row>
    <row r="26" spans="1:4">
      <c r="A26" t="s">
        <v>1947</v>
      </c>
      <c r="B26" t="str">
        <f>SUBSTITUTE(WA_Counties[[#This Row],[NAME]],", Washington","")</f>
        <v>Pacific County</v>
      </c>
      <c r="C26" t="s">
        <v>1946</v>
      </c>
      <c r="D26" t="s">
        <v>2390</v>
      </c>
    </row>
    <row r="27" spans="1:4">
      <c r="A27" t="s">
        <v>1949</v>
      </c>
      <c r="B27" t="str">
        <f>SUBSTITUTE(WA_Counties[[#This Row],[NAME]],", Washington","")</f>
        <v>Pend Oreille County</v>
      </c>
      <c r="C27" t="s">
        <v>1948</v>
      </c>
      <c r="D27" t="s">
        <v>2391</v>
      </c>
    </row>
    <row r="28" spans="1:4">
      <c r="A28" t="s">
        <v>1951</v>
      </c>
      <c r="B28" t="str">
        <f>SUBSTITUTE(WA_Counties[[#This Row],[NAME]],", Washington","")</f>
        <v>Pierce County</v>
      </c>
      <c r="C28" t="s">
        <v>1950</v>
      </c>
      <c r="D28" t="s">
        <v>2392</v>
      </c>
    </row>
    <row r="29" spans="1:4">
      <c r="A29" t="s">
        <v>1953</v>
      </c>
      <c r="B29" t="str">
        <f>SUBSTITUTE(WA_Counties[[#This Row],[NAME]],", Washington","")</f>
        <v>San Juan County</v>
      </c>
      <c r="C29" t="s">
        <v>1952</v>
      </c>
      <c r="D29" t="s">
        <v>2393</v>
      </c>
    </row>
    <row r="30" spans="1:4">
      <c r="A30" t="s">
        <v>1955</v>
      </c>
      <c r="B30" t="str">
        <f>SUBSTITUTE(WA_Counties[[#This Row],[NAME]],", Washington","")</f>
        <v>Skagit County</v>
      </c>
      <c r="C30" t="s">
        <v>1954</v>
      </c>
      <c r="D30" t="s">
        <v>2394</v>
      </c>
    </row>
    <row r="31" spans="1:4">
      <c r="A31" t="s">
        <v>1957</v>
      </c>
      <c r="B31" t="str">
        <f>SUBSTITUTE(WA_Counties[[#This Row],[NAME]],", Washington","")</f>
        <v>Skamania County</v>
      </c>
      <c r="C31" t="s">
        <v>1956</v>
      </c>
      <c r="D31" t="s">
        <v>2395</v>
      </c>
    </row>
    <row r="32" spans="1:4">
      <c r="A32" t="s">
        <v>1959</v>
      </c>
      <c r="B32" t="str">
        <f>SUBSTITUTE(WA_Counties[[#This Row],[NAME]],", Washington","")</f>
        <v>Snohomish County</v>
      </c>
      <c r="C32" t="s">
        <v>1958</v>
      </c>
      <c r="D32" t="s">
        <v>2396</v>
      </c>
    </row>
    <row r="33" spans="1:4">
      <c r="A33" t="s">
        <v>1961</v>
      </c>
      <c r="B33" t="str">
        <f>SUBSTITUTE(WA_Counties[[#This Row],[NAME]],", Washington","")</f>
        <v>Spokane County</v>
      </c>
      <c r="C33" t="s">
        <v>1960</v>
      </c>
      <c r="D33" t="s">
        <v>2397</v>
      </c>
    </row>
    <row r="34" spans="1:4">
      <c r="A34" t="s">
        <v>1963</v>
      </c>
      <c r="B34" t="str">
        <f>SUBSTITUTE(WA_Counties[[#This Row],[NAME]],", Washington","")</f>
        <v>Stevens County</v>
      </c>
      <c r="C34" t="s">
        <v>1962</v>
      </c>
      <c r="D34" t="s">
        <v>2398</v>
      </c>
    </row>
    <row r="35" spans="1:4">
      <c r="A35" t="s">
        <v>1965</v>
      </c>
      <c r="B35" t="str">
        <f>SUBSTITUTE(WA_Counties[[#This Row],[NAME]],", Washington","")</f>
        <v>Thurston County</v>
      </c>
      <c r="C35" t="s">
        <v>1964</v>
      </c>
      <c r="D35" t="s">
        <v>2399</v>
      </c>
    </row>
    <row r="36" spans="1:4">
      <c r="A36" t="s">
        <v>1967</v>
      </c>
      <c r="B36" t="str">
        <f>SUBSTITUTE(WA_Counties[[#This Row],[NAME]],", Washington","")</f>
        <v>Wahkiakum County</v>
      </c>
      <c r="C36" t="s">
        <v>1966</v>
      </c>
      <c r="D36" t="s">
        <v>2400</v>
      </c>
    </row>
    <row r="37" spans="1:4">
      <c r="A37" t="s">
        <v>1969</v>
      </c>
      <c r="B37" t="str">
        <f>SUBSTITUTE(WA_Counties[[#This Row],[NAME]],", Washington","")</f>
        <v>Walla Walla County</v>
      </c>
      <c r="C37" t="s">
        <v>1968</v>
      </c>
      <c r="D37" t="s">
        <v>2401</v>
      </c>
    </row>
    <row r="38" spans="1:4">
      <c r="A38" t="s">
        <v>1971</v>
      </c>
      <c r="B38" t="str">
        <f>SUBSTITUTE(WA_Counties[[#This Row],[NAME]],", Washington","")</f>
        <v>Whatcom County</v>
      </c>
      <c r="C38" t="s">
        <v>1970</v>
      </c>
      <c r="D38" t="s">
        <v>2402</v>
      </c>
    </row>
    <row r="39" spans="1:4">
      <c r="A39" t="s">
        <v>1973</v>
      </c>
      <c r="B39" t="str">
        <f>SUBSTITUTE(WA_Counties[[#This Row],[NAME]],", Washington","")</f>
        <v>Whitman County</v>
      </c>
      <c r="C39" t="s">
        <v>1972</v>
      </c>
      <c r="D39" t="s">
        <v>2403</v>
      </c>
    </row>
    <row r="40" spans="1:4">
      <c r="A40" t="s">
        <v>1975</v>
      </c>
      <c r="B40" t="str">
        <f>SUBSTITUTE(WA_Counties[[#This Row],[NAME]],", Washington","")</f>
        <v>Yakima County</v>
      </c>
      <c r="C40" t="s">
        <v>1974</v>
      </c>
      <c r="D40" t="s">
        <v>2404</v>
      </c>
    </row>
  </sheetData>
  <pageMargins left="0.7" right="0.7" top="0.75" bottom="0.75" header="0.3" footer="0.3"/>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6">
    <tabColor theme="3"/>
  </sheetPr>
  <dimension ref="A2:A169"/>
  <sheetViews>
    <sheetView workbookViewId="0"/>
  </sheetViews>
  <sheetFormatPr defaultColWidth="9" defaultRowHeight="14.25"/>
  <cols>
    <col min="1" max="1" width="81.125" style="7" customWidth="1"/>
    <col min="2" max="3" width="11.125" style="7" customWidth="1"/>
    <col min="4" max="16384" width="9" style="7"/>
  </cols>
  <sheetData>
    <row r="2" spans="1:1">
      <c r="A2" s="22" t="s">
        <v>2625</v>
      </c>
    </row>
    <row r="3" spans="1:1">
      <c r="A3" s="23" t="s">
        <v>2624</v>
      </c>
    </row>
    <row r="4" spans="1:1">
      <c r="A4" s="23" t="s">
        <v>2623</v>
      </c>
    </row>
    <row r="5" spans="1:1">
      <c r="A5" s="23" t="s">
        <v>2622</v>
      </c>
    </row>
    <row r="7" spans="1:1">
      <c r="A7" s="24" t="s">
        <v>2621</v>
      </c>
    </row>
    <row r="8" spans="1:1">
      <c r="A8" s="11" t="s">
        <v>2620</v>
      </c>
    </row>
    <row r="9" spans="1:1">
      <c r="A9" s="11" t="s">
        <v>2619</v>
      </c>
    </row>
    <row r="10" spans="1:1">
      <c r="A10" s="11" t="s">
        <v>2618</v>
      </c>
    </row>
    <row r="11" spans="1:1">
      <c r="A11" s="11" t="s">
        <v>2617</v>
      </c>
    </row>
    <row r="12" spans="1:1">
      <c r="A12" s="11" t="s">
        <v>2616</v>
      </c>
    </row>
    <row r="14" spans="1:1">
      <c r="A14" s="22" t="s">
        <v>2615</v>
      </c>
    </row>
    <row r="15" spans="1:1">
      <c r="A15" s="20" t="s">
        <v>2614</v>
      </c>
    </row>
    <row r="16" spans="1:1">
      <c r="A16" s="20" t="s">
        <v>2613</v>
      </c>
    </row>
    <row r="17" spans="1:1">
      <c r="A17" s="20" t="s">
        <v>2612</v>
      </c>
    </row>
    <row r="19" spans="1:1">
      <c r="A19" s="22" t="s">
        <v>2611</v>
      </c>
    </row>
    <row r="20" spans="1:1">
      <c r="A20" s="21" t="s">
        <v>2610</v>
      </c>
    </row>
    <row r="21" spans="1:1">
      <c r="A21" s="21" t="s">
        <v>2609</v>
      </c>
    </row>
    <row r="22" spans="1:1">
      <c r="A22" s="21" t="s">
        <v>2608</v>
      </c>
    </row>
    <row r="24" spans="1:1">
      <c r="A24" s="22" t="s">
        <v>2607</v>
      </c>
    </row>
    <row r="25" spans="1:1">
      <c r="A25" s="25" t="s">
        <v>2600</v>
      </c>
    </row>
    <row r="26" spans="1:1">
      <c r="A26" s="25" t="s">
        <v>2599</v>
      </c>
    </row>
    <row r="27" spans="1:1">
      <c r="A27" s="25" t="s">
        <v>2598</v>
      </c>
    </row>
    <row r="28" spans="1:1">
      <c r="A28" s="25" t="s">
        <v>2606</v>
      </c>
    </row>
    <row r="30" spans="1:1">
      <c r="A30" s="22" t="s">
        <v>2605</v>
      </c>
    </row>
    <row r="31" spans="1:1">
      <c r="A31" s="25" t="s">
        <v>2604</v>
      </c>
    </row>
    <row r="32" spans="1:1">
      <c r="A32" s="25" t="s">
        <v>2598</v>
      </c>
    </row>
    <row r="33" spans="1:1">
      <c r="A33" s="25" t="s">
        <v>2603</v>
      </c>
    </row>
    <row r="34" spans="1:1">
      <c r="A34" s="25" t="s">
        <v>2602</v>
      </c>
    </row>
    <row r="36" spans="1:1">
      <c r="A36" s="22" t="s">
        <v>2601</v>
      </c>
    </row>
    <row r="37" spans="1:1">
      <c r="A37" s="25" t="s">
        <v>2600</v>
      </c>
    </row>
    <row r="38" spans="1:1">
      <c r="A38" s="25" t="s">
        <v>2599</v>
      </c>
    </row>
    <row r="39" spans="1:1">
      <c r="A39" s="25" t="s">
        <v>2598</v>
      </c>
    </row>
    <row r="40" spans="1:1">
      <c r="A40" s="25" t="s">
        <v>2597</v>
      </c>
    </row>
    <row r="41" spans="1:1">
      <c r="A41" s="25" t="s">
        <v>2596</v>
      </c>
    </row>
    <row r="43" spans="1:1">
      <c r="A43" s="18" t="s">
        <v>2595</v>
      </c>
    </row>
    <row r="44" spans="1:1">
      <c r="A44" s="25" t="s">
        <v>2594</v>
      </c>
    </row>
    <row r="45" spans="1:1">
      <c r="A45" s="25" t="s">
        <v>2593</v>
      </c>
    </row>
    <row r="46" spans="1:1">
      <c r="A46" s="25" t="s">
        <v>2592</v>
      </c>
    </row>
    <row r="47" spans="1:1">
      <c r="A47" s="25" t="s">
        <v>2591</v>
      </c>
    </row>
    <row r="48" spans="1:1">
      <c r="A48" s="25" t="s">
        <v>2590</v>
      </c>
    </row>
    <row r="49" spans="1:1">
      <c r="A49" s="25" t="s">
        <v>2589</v>
      </c>
    </row>
    <row r="50" spans="1:1">
      <c r="A50" s="25" t="s">
        <v>2588</v>
      </c>
    </row>
    <row r="51" spans="1:1">
      <c r="A51" s="25" t="s">
        <v>2587</v>
      </c>
    </row>
    <row r="52" spans="1:1">
      <c r="A52" s="25" t="s">
        <v>2586</v>
      </c>
    </row>
    <row r="53" spans="1:1">
      <c r="A53" s="25" t="s">
        <v>2585</v>
      </c>
    </row>
    <row r="54" spans="1:1">
      <c r="A54" s="25" t="s">
        <v>2584</v>
      </c>
    </row>
    <row r="55" spans="1:1">
      <c r="A55" s="25" t="s">
        <v>2583</v>
      </c>
    </row>
    <row r="56" spans="1:1">
      <c r="A56" s="25" t="s">
        <v>2582</v>
      </c>
    </row>
    <row r="58" spans="1:1">
      <c r="A58" s="22" t="s">
        <v>2581</v>
      </c>
    </row>
    <row r="59" spans="1:1">
      <c r="A59" s="23" t="s">
        <v>2580</v>
      </c>
    </row>
    <row r="60" spans="1:1">
      <c r="A60" s="23" t="s">
        <v>2579</v>
      </c>
    </row>
    <row r="62" spans="1:1">
      <c r="A62" s="22" t="s">
        <v>2578</v>
      </c>
    </row>
    <row r="63" spans="1:1">
      <c r="A63" s="23" t="s">
        <v>2577</v>
      </c>
    </row>
    <row r="64" spans="1:1">
      <c r="A64" s="23" t="s">
        <v>2576</v>
      </c>
    </row>
    <row r="65" spans="1:1">
      <c r="A65" s="23" t="s">
        <v>2575</v>
      </c>
    </row>
    <row r="67" spans="1:1">
      <c r="A67" s="22" t="s">
        <v>2574</v>
      </c>
    </row>
    <row r="68" spans="1:1">
      <c r="A68" s="20" t="s">
        <v>2573</v>
      </c>
    </row>
    <row r="69" spans="1:1">
      <c r="A69" s="20" t="s">
        <v>2572</v>
      </c>
    </row>
    <row r="70" spans="1:1">
      <c r="A70" s="20" t="s">
        <v>2571</v>
      </c>
    </row>
    <row r="71" spans="1:1">
      <c r="A71" s="23" t="s">
        <v>2570</v>
      </c>
    </row>
    <row r="72" spans="1:1">
      <c r="A72" s="23" t="s">
        <v>2569</v>
      </c>
    </row>
    <row r="74" spans="1:1">
      <c r="A74" s="22" t="s">
        <v>2568</v>
      </c>
    </row>
    <row r="75" spans="1:1">
      <c r="A75" s="23" t="s">
        <v>2566</v>
      </c>
    </row>
    <row r="76" spans="1:1">
      <c r="A76" s="23" t="s">
        <v>2565</v>
      </c>
    </row>
    <row r="77" spans="1:1">
      <c r="A77" s="23" t="s">
        <v>2564</v>
      </c>
    </row>
    <row r="79" spans="1:1">
      <c r="A79" s="22" t="s">
        <v>2567</v>
      </c>
    </row>
    <row r="80" spans="1:1">
      <c r="A80" s="23" t="s">
        <v>2566</v>
      </c>
    </row>
    <row r="81" spans="1:1">
      <c r="A81" s="23" t="s">
        <v>2565</v>
      </c>
    </row>
    <row r="82" spans="1:1">
      <c r="A82" s="23" t="s">
        <v>2564</v>
      </c>
    </row>
    <row r="83" spans="1:1">
      <c r="A83" s="23" t="s">
        <v>2563</v>
      </c>
    </row>
    <row r="85" spans="1:1">
      <c r="A85" s="22" t="s">
        <v>2626</v>
      </c>
    </row>
    <row r="86" spans="1:1">
      <c r="A86" s="23" t="s">
        <v>2561</v>
      </c>
    </row>
    <row r="87" spans="1:1" ht="25.5">
      <c r="A87" s="23" t="s">
        <v>2562</v>
      </c>
    </row>
    <row r="88" spans="1:1">
      <c r="A88" s="23"/>
    </row>
    <row r="89" spans="1:1">
      <c r="A89" s="22" t="s">
        <v>2627</v>
      </c>
    </row>
    <row r="90" spans="1:1">
      <c r="A90" s="23" t="s">
        <v>2561</v>
      </c>
    </row>
    <row r="91" spans="1:1">
      <c r="A91" s="23" t="s">
        <v>2560</v>
      </c>
    </row>
    <row r="92" spans="1:1">
      <c r="A92" s="23" t="s">
        <v>2554</v>
      </c>
    </row>
    <row r="94" spans="1:1">
      <c r="A94" s="22" t="s">
        <v>2559</v>
      </c>
    </row>
    <row r="95" spans="1:1">
      <c r="A95" s="20" t="s">
        <v>2537</v>
      </c>
    </row>
    <row r="96" spans="1:1">
      <c r="A96" s="20" t="s">
        <v>2558</v>
      </c>
    </row>
    <row r="97" spans="1:1">
      <c r="A97" s="20" t="s">
        <v>2557</v>
      </c>
    </row>
    <row r="98" spans="1:1">
      <c r="A98" s="20" t="s">
        <v>2556</v>
      </c>
    </row>
    <row r="99" spans="1:1">
      <c r="A99" s="20" t="s">
        <v>2555</v>
      </c>
    </row>
    <row r="100" spans="1:1">
      <c r="A100" s="23" t="s">
        <v>2554</v>
      </c>
    </row>
    <row r="101" spans="1:1">
      <c r="A101" s="25" t="s">
        <v>2553</v>
      </c>
    </row>
    <row r="103" spans="1:1">
      <c r="A103" s="22" t="s">
        <v>2552</v>
      </c>
    </row>
    <row r="104" spans="1:1">
      <c r="A104" s="23" t="s">
        <v>2551</v>
      </c>
    </row>
    <row r="105" spans="1:1">
      <c r="A105" s="23" t="s">
        <v>2550</v>
      </c>
    </row>
    <row r="106" spans="1:1">
      <c r="A106" s="23" t="s">
        <v>2549</v>
      </c>
    </row>
    <row r="107" spans="1:1">
      <c r="A107" s="23"/>
    </row>
    <row r="108" spans="1:1">
      <c r="A108" s="22" t="s">
        <v>2548</v>
      </c>
    </row>
    <row r="109" spans="1:1">
      <c r="A109" s="23" t="s">
        <v>2408</v>
      </c>
    </row>
    <row r="110" spans="1:1">
      <c r="A110" s="21" t="s">
        <v>2409</v>
      </c>
    </row>
    <row r="111" spans="1:1">
      <c r="A111" s="21" t="s">
        <v>2410</v>
      </c>
    </row>
    <row r="112" spans="1:1">
      <c r="A112" s="21" t="s">
        <v>2411</v>
      </c>
    </row>
    <row r="113" spans="1:1">
      <c r="A113" s="23"/>
    </row>
    <row r="114" spans="1:1">
      <c r="A114" s="22" t="s">
        <v>2547</v>
      </c>
    </row>
    <row r="115" spans="1:1">
      <c r="A115" s="23" t="s">
        <v>2546</v>
      </c>
    </row>
    <row r="116" spans="1:1">
      <c r="A116" s="21" t="s">
        <v>2545</v>
      </c>
    </row>
    <row r="118" spans="1:1">
      <c r="A118" s="22" t="s">
        <v>2544</v>
      </c>
    </row>
    <row r="119" spans="1:1">
      <c r="A119" s="20" t="s">
        <v>2229</v>
      </c>
    </row>
    <row r="120" spans="1:1">
      <c r="A120" s="20" t="s">
        <v>2230</v>
      </c>
    </row>
    <row r="121" spans="1:1">
      <c r="A121" s="20" t="s">
        <v>2231</v>
      </c>
    </row>
    <row r="122" spans="1:1">
      <c r="A122" s="20" t="s">
        <v>2232</v>
      </c>
    </row>
    <row r="123" spans="1:1">
      <c r="A123" s="20" t="s">
        <v>2233</v>
      </c>
    </row>
    <row r="124" spans="1:1">
      <c r="A124" s="20" t="s">
        <v>2234</v>
      </c>
    </row>
    <row r="126" spans="1:1">
      <c r="A126" s="22" t="s">
        <v>2543</v>
      </c>
    </row>
    <row r="127" spans="1:1">
      <c r="A127" s="20" t="s">
        <v>2229</v>
      </c>
    </row>
    <row r="128" spans="1:1">
      <c r="A128" s="20" t="s">
        <v>2230</v>
      </c>
    </row>
    <row r="129" spans="1:1">
      <c r="A129" s="20" t="s">
        <v>2231</v>
      </c>
    </row>
    <row r="130" spans="1:1">
      <c r="A130" s="20" t="s">
        <v>2232</v>
      </c>
    </row>
    <row r="131" spans="1:1">
      <c r="A131" s="20" t="s">
        <v>2233</v>
      </c>
    </row>
    <row r="132" spans="1:1">
      <c r="A132" s="20" t="s">
        <v>2234</v>
      </c>
    </row>
    <row r="133" spans="1:1">
      <c r="A133" s="20" t="s">
        <v>2542</v>
      </c>
    </row>
    <row r="135" spans="1:1">
      <c r="A135" s="22" t="s">
        <v>2541</v>
      </c>
    </row>
    <row r="136" spans="1:1">
      <c r="A136" s="20" t="s">
        <v>1260</v>
      </c>
    </row>
    <row r="137" spans="1:1">
      <c r="A137" s="20" t="s">
        <v>1261</v>
      </c>
    </row>
    <row r="138" spans="1:1">
      <c r="A138" s="20" t="s">
        <v>1262</v>
      </c>
    </row>
    <row r="139" spans="1:1">
      <c r="A139" s="20" t="s">
        <v>1263</v>
      </c>
    </row>
    <row r="141" spans="1:1">
      <c r="A141" s="22" t="s">
        <v>2628</v>
      </c>
    </row>
    <row r="142" spans="1:1">
      <c r="A142" s="23" t="s">
        <v>2540</v>
      </c>
    </row>
    <row r="143" spans="1:1" ht="25.5">
      <c r="A143" s="23" t="s">
        <v>2539</v>
      </c>
    </row>
    <row r="145" spans="1:1">
      <c r="A145" s="26" t="s">
        <v>2538</v>
      </c>
    </row>
    <row r="146" spans="1:1">
      <c r="A146" s="23" t="s">
        <v>2537</v>
      </c>
    </row>
    <row r="147" spans="1:1">
      <c r="A147" s="23" t="s">
        <v>2536</v>
      </c>
    </row>
    <row r="149" spans="1:1">
      <c r="A149" s="22" t="s">
        <v>2535</v>
      </c>
    </row>
    <row r="150" spans="1:1">
      <c r="A150" s="27" t="s">
        <v>5</v>
      </c>
    </row>
    <row r="151" spans="1:1">
      <c r="A151" s="27" t="s">
        <v>4</v>
      </c>
    </row>
    <row r="153" spans="1:1">
      <c r="A153" s="24" t="s">
        <v>2534</v>
      </c>
    </row>
    <row r="154" spans="1:1">
      <c r="A154" s="25" t="s">
        <v>1259</v>
      </c>
    </row>
    <row r="155" spans="1:1">
      <c r="A155" s="23" t="s">
        <v>1264</v>
      </c>
    </row>
    <row r="156" spans="1:1">
      <c r="A156" s="27" t="s">
        <v>1265</v>
      </c>
    </row>
    <row r="157" spans="1:1">
      <c r="A157" s="27" t="s">
        <v>2533</v>
      </c>
    </row>
    <row r="159" spans="1:1">
      <c r="A159" s="24" t="s">
        <v>2532</v>
      </c>
    </row>
    <row r="160" spans="1:1">
      <c r="A160" s="20" t="s">
        <v>2531</v>
      </c>
    </row>
    <row r="161" spans="1:1">
      <c r="A161" s="20" t="s">
        <v>2530</v>
      </c>
    </row>
    <row r="162" spans="1:1">
      <c r="A162" s="20" t="s">
        <v>2529</v>
      </c>
    </row>
    <row r="164" spans="1:1">
      <c r="A164" s="24" t="s">
        <v>2528</v>
      </c>
    </row>
    <row r="165" spans="1:1">
      <c r="A165" s="23" t="s">
        <v>2527</v>
      </c>
    </row>
    <row r="166" spans="1:1">
      <c r="A166" s="23" t="s">
        <v>2526</v>
      </c>
    </row>
    <row r="167" spans="1:1">
      <c r="A167" s="23" t="s">
        <v>2525</v>
      </c>
    </row>
    <row r="168" spans="1:1">
      <c r="A168" s="23" t="s">
        <v>2524</v>
      </c>
    </row>
    <row r="169" spans="1:1">
      <c r="A169" s="23" t="s">
        <v>2523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7">
    <tabColor theme="3"/>
  </sheetPr>
  <dimension ref="A1"/>
  <sheetViews>
    <sheetView workbookViewId="0"/>
  </sheetViews>
  <sheetFormatPr defaultRowHeight="14.2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9"/>
  </sheetPr>
  <dimension ref="A2:J116"/>
  <sheetViews>
    <sheetView zoomScale="120" zoomScaleNormal="120" workbookViewId="0">
      <selection activeCell="C7" sqref="C7"/>
    </sheetView>
  </sheetViews>
  <sheetFormatPr defaultColWidth="9" defaultRowHeight="14.25"/>
  <cols>
    <col min="1" max="1" width="3.625" style="7" customWidth="1"/>
    <col min="2" max="2" width="33.625" style="7" customWidth="1"/>
    <col min="3" max="3" width="34.75" style="7" customWidth="1"/>
    <col min="4" max="4" width="19.5" style="7" customWidth="1"/>
    <col min="5" max="5" width="22.5" style="7" customWidth="1"/>
    <col min="6" max="6" width="12.625" style="7" customWidth="1"/>
    <col min="7" max="7" width="13.25" style="7" customWidth="1"/>
    <col min="8" max="8" width="13.5" style="7" customWidth="1"/>
    <col min="9" max="9" width="14.375" style="7" customWidth="1"/>
    <col min="10" max="10" width="75" style="7" customWidth="1"/>
  </cols>
  <sheetData>
    <row r="2" spans="2:10" ht="28.5" thickBot="1">
      <c r="B2" s="4" t="s">
        <v>2701</v>
      </c>
      <c r="C2" s="4"/>
      <c r="D2" s="4"/>
      <c r="E2" s="4"/>
      <c r="F2" s="4"/>
      <c r="G2" s="4"/>
      <c r="H2" s="4"/>
      <c r="I2" s="4"/>
      <c r="J2" s="4"/>
    </row>
    <row r="3" spans="2:10" ht="15" thickTop="1"/>
    <row r="6" spans="2:10" ht="20.25">
      <c r="B6" s="9" t="s">
        <v>2419</v>
      </c>
      <c r="C6" s="48" t="s">
        <v>361</v>
      </c>
    </row>
    <row r="7" spans="2:10" ht="20.25">
      <c r="B7" s="9"/>
      <c r="C7" s="48" t="s">
        <v>1905</v>
      </c>
    </row>
    <row r="8" spans="2:10" ht="20.25">
      <c r="B8" s="8" t="s">
        <v>2678</v>
      </c>
      <c r="C8" s="45" t="str">
        <f>IFERROR(INDEX(GEOID[GEO_ID],MATCH(City,GEOID[NAME],0)),"(not found)")</f>
        <v>1600000US5322010</v>
      </c>
    </row>
    <row r="9" spans="2:10" ht="20.25">
      <c r="B9" s="8"/>
      <c r="C9" s="45" t="str">
        <f>IFERROR(INDEX(GEOID[GEO_ID],MATCH(County,GEOID[NAME],0)),"(not found)")</f>
        <v>0500000US53007</v>
      </c>
    </row>
    <row r="11" spans="2:10" ht="20.25">
      <c r="B11" s="8" t="s">
        <v>2677</v>
      </c>
      <c r="C11" s="49" t="str">
        <f>IFERROR(INDEX(WA_CDPs[GEO_ID_CHAS],MATCH(City,WA_CDPs[NAME],0)),"(not found)")</f>
        <v>16000US5322010</v>
      </c>
    </row>
    <row r="12" spans="2:10" ht="20.25">
      <c r="B12" s="8"/>
      <c r="C12" s="49" t="str">
        <f>IFERROR(INDEX(WA_Counties[GEO_ID_CHAS],MATCH(County,WA_Counties[NAME],0)),"(not found)")</f>
        <v>05000US53007</v>
      </c>
    </row>
    <row r="14" spans="2:10" ht="20.25">
      <c r="B14" s="8" t="s">
        <v>2695</v>
      </c>
      <c r="C14" s="49" t="str">
        <f>SUBSTITUTE(SUBSTITUTE(SUBSTITUTE(City, " city, Washington", ""), " town, Washington", ""), " CDP, Washington", "")</f>
        <v>Entiat</v>
      </c>
    </row>
    <row r="15" spans="2:10" ht="20.25">
      <c r="B15" s="8"/>
      <c r="C15" s="49" t="str">
        <f>SUBSTITUTE(County,", Washington","")</f>
        <v>Chelan County</v>
      </c>
    </row>
    <row r="17" spans="2:10" ht="20.25">
      <c r="B17" s="8" t="s">
        <v>2716</v>
      </c>
      <c r="C17" s="159">
        <v>0.3</v>
      </c>
      <c r="D17"/>
    </row>
    <row r="18" spans="2:10">
      <c r="B18"/>
      <c r="C18"/>
      <c r="D18"/>
    </row>
    <row r="19" spans="2:10">
      <c r="B19"/>
      <c r="C19"/>
      <c r="D19"/>
    </row>
    <row r="20" spans="2:10">
      <c r="B20"/>
      <c r="C20"/>
      <c r="D20"/>
    </row>
    <row r="21" spans="2:10">
      <c r="B21"/>
      <c r="C21"/>
      <c r="D21"/>
    </row>
    <row r="22" spans="2:10">
      <c r="B22"/>
      <c r="C22"/>
      <c r="D22"/>
    </row>
    <row r="23" spans="2:10">
      <c r="B23"/>
      <c r="C23"/>
      <c r="D23"/>
    </row>
    <row r="24" spans="2:10">
      <c r="B24"/>
      <c r="C24"/>
      <c r="D24"/>
    </row>
    <row r="25" spans="2:10">
      <c r="B25"/>
      <c r="C25"/>
      <c r="D25"/>
    </row>
    <row r="26" spans="2:10">
      <c r="B26"/>
      <c r="C26"/>
      <c r="D26"/>
    </row>
    <row r="27" spans="2:10" ht="17.25" thickBot="1">
      <c r="B27" s="62" t="s">
        <v>2507</v>
      </c>
      <c r="C27" s="62"/>
      <c r="D27" s="62"/>
      <c r="E27" s="62"/>
      <c r="F27" s="62"/>
      <c r="G27" s="62"/>
      <c r="H27" s="62"/>
      <c r="I27" s="62"/>
      <c r="J27" s="62"/>
    </row>
    <row r="28" spans="2:10" ht="15" thickTop="1">
      <c r="C28"/>
      <c r="D28"/>
    </row>
    <row r="29" spans="2:10">
      <c r="B29" s="10" t="s">
        <v>2417</v>
      </c>
      <c r="C29"/>
      <c r="D29"/>
    </row>
    <row r="30" spans="2:10">
      <c r="B30" s="10" t="s">
        <v>2422</v>
      </c>
      <c r="C30"/>
      <c r="D30"/>
    </row>
    <row r="31" spans="2:10">
      <c r="B31" s="10" t="s">
        <v>2423</v>
      </c>
      <c r="C31"/>
      <c r="D31"/>
    </row>
    <row r="32" spans="2:10">
      <c r="B32" s="10" t="s">
        <v>2502</v>
      </c>
      <c r="C32"/>
      <c r="D32"/>
    </row>
    <row r="33" spans="2:10">
      <c r="B33" s="10" t="s">
        <v>2503</v>
      </c>
      <c r="C33"/>
      <c r="D33"/>
    </row>
    <row r="34" spans="2:10">
      <c r="B34" s="10"/>
      <c r="C34"/>
      <c r="D34"/>
    </row>
    <row r="36" spans="2:10" ht="17.25" thickBot="1">
      <c r="B36" s="14" t="s">
        <v>2508</v>
      </c>
      <c r="C36" s="14"/>
      <c r="D36" s="14"/>
      <c r="E36" s="14"/>
      <c r="F36" s="14"/>
      <c r="G36" s="14"/>
      <c r="H36" s="14"/>
      <c r="I36" s="14"/>
      <c r="J36" s="14"/>
    </row>
    <row r="37" spans="2:10" ht="15" thickTop="1"/>
    <row r="38" spans="2:10" ht="15">
      <c r="B38" s="13" t="s">
        <v>2421</v>
      </c>
      <c r="C38" s="13" t="s">
        <v>2424</v>
      </c>
      <c r="D38" s="13" t="s">
        <v>2467</v>
      </c>
      <c r="E38" s="13" t="s">
        <v>2420</v>
      </c>
      <c r="F38" s="13" t="s">
        <v>2657</v>
      </c>
      <c r="G38" s="13" t="s">
        <v>2511</v>
      </c>
      <c r="H38" s="13"/>
      <c r="I38" s="13"/>
      <c r="J38" s="13" t="s">
        <v>2699</v>
      </c>
    </row>
    <row r="39" spans="2:10">
      <c r="J39" s="42" t="s">
        <v>2407</v>
      </c>
    </row>
    <row r="40" spans="2:10" ht="15">
      <c r="B40" s="17" t="s">
        <v>2512</v>
      </c>
      <c r="E40" s="12"/>
      <c r="J40" s="42" t="s">
        <v>2407</v>
      </c>
    </row>
    <row r="41" spans="2:10">
      <c r="B41" s="7" t="s">
        <v>2468</v>
      </c>
      <c r="C41" s="7" t="s">
        <v>2468</v>
      </c>
      <c r="D41" s="7" t="s">
        <v>2469</v>
      </c>
      <c r="E41" s="12">
        <v>44826</v>
      </c>
      <c r="F41" s="7" t="s">
        <v>2694</v>
      </c>
      <c r="G41" s="7" t="s">
        <v>2509</v>
      </c>
      <c r="J41" s="42" t="s">
        <v>2407</v>
      </c>
    </row>
    <row r="42" spans="2:10">
      <c r="B42" s="7" t="s">
        <v>2684</v>
      </c>
      <c r="C42" s="7" t="s">
        <v>2688</v>
      </c>
      <c r="D42" s="7" t="s">
        <v>2469</v>
      </c>
      <c r="E42" s="12">
        <v>44840</v>
      </c>
      <c r="F42" s="7" t="s">
        <v>2694</v>
      </c>
      <c r="G42" s="7" t="s">
        <v>2689</v>
      </c>
      <c r="J42" s="42" t="s">
        <v>2407</v>
      </c>
    </row>
    <row r="43" spans="2:10">
      <c r="B43" s="7" t="s">
        <v>2685</v>
      </c>
      <c r="C43" s="7" t="s">
        <v>2690</v>
      </c>
      <c r="D43" s="7" t="s">
        <v>2469</v>
      </c>
      <c r="E43" s="12">
        <v>44840</v>
      </c>
      <c r="F43" s="7" t="s">
        <v>2694</v>
      </c>
      <c r="G43" s="7" t="s">
        <v>2689</v>
      </c>
      <c r="J43" s="42" t="s">
        <v>2407</v>
      </c>
    </row>
    <row r="44" spans="2:10">
      <c r="B44" s="7" t="s">
        <v>2686</v>
      </c>
      <c r="C44" s="7" t="s">
        <v>2691</v>
      </c>
      <c r="D44" s="7" t="s">
        <v>2469</v>
      </c>
      <c r="E44" s="12">
        <v>44840</v>
      </c>
      <c r="F44" s="7" t="s">
        <v>2694</v>
      </c>
      <c r="G44" s="7" t="s">
        <v>2692</v>
      </c>
      <c r="J44" s="42" t="s">
        <v>2407</v>
      </c>
    </row>
    <row r="45" spans="2:10">
      <c r="B45" s="7" t="s">
        <v>2687</v>
      </c>
      <c r="C45" s="7" t="s">
        <v>2693</v>
      </c>
      <c r="D45" s="7" t="s">
        <v>2469</v>
      </c>
      <c r="E45" s="12">
        <v>44840</v>
      </c>
      <c r="F45" s="7" t="s">
        <v>2694</v>
      </c>
      <c r="G45" s="7" t="s">
        <v>2692</v>
      </c>
      <c r="J45" s="42" t="s">
        <v>2407</v>
      </c>
    </row>
    <row r="46" spans="2:10">
      <c r="E46" s="12"/>
      <c r="J46" s="42" t="s">
        <v>2407</v>
      </c>
    </row>
    <row r="47" spans="2:10" ht="15">
      <c r="B47" s="17" t="s">
        <v>2659</v>
      </c>
      <c r="E47" s="12"/>
      <c r="J47" s="42" t="s">
        <v>2407</v>
      </c>
    </row>
    <row r="48" spans="2:10">
      <c r="B48" s="7" t="s">
        <v>2504</v>
      </c>
      <c r="C48" s="7" t="s">
        <v>2663</v>
      </c>
      <c r="D48" s="7" t="s">
        <v>2505</v>
      </c>
      <c r="E48" s="12">
        <v>44826</v>
      </c>
      <c r="F48" s="15" t="s">
        <v>2510</v>
      </c>
      <c r="G48" s="7" t="s">
        <v>2660</v>
      </c>
      <c r="J48" s="10" t="s">
        <v>2700</v>
      </c>
    </row>
    <row r="49" spans="2:10">
      <c r="B49" s="7" t="s">
        <v>2506</v>
      </c>
      <c r="C49" s="7" t="s">
        <v>2664</v>
      </c>
      <c r="D49" s="7" t="s">
        <v>2505</v>
      </c>
      <c r="E49" s="12">
        <v>44826</v>
      </c>
      <c r="F49" s="15" t="s">
        <v>2510</v>
      </c>
      <c r="G49" s="7" t="s">
        <v>2661</v>
      </c>
      <c r="J49" s="10" t="s">
        <v>2708</v>
      </c>
    </row>
    <row r="50" spans="2:10">
      <c r="E50" s="12"/>
      <c r="J50" s="42" t="s">
        <v>2407</v>
      </c>
    </row>
    <row r="51" spans="2:10" ht="15">
      <c r="B51" s="17" t="s">
        <v>2658</v>
      </c>
      <c r="E51" s="12"/>
      <c r="J51" s="42" t="s">
        <v>2407</v>
      </c>
    </row>
    <row r="52" spans="2:10">
      <c r="B52" s="7" t="s">
        <v>2517</v>
      </c>
      <c r="D52" s="7" t="s">
        <v>2418</v>
      </c>
      <c r="E52" s="12"/>
      <c r="J52" s="42" t="s">
        <v>2407</v>
      </c>
    </row>
    <row r="53" spans="2:10">
      <c r="B53" s="10" t="s">
        <v>2519</v>
      </c>
      <c r="E53" s="12">
        <v>44830</v>
      </c>
      <c r="F53" s="15" t="s">
        <v>2521</v>
      </c>
      <c r="J53" s="191" t="s">
        <v>2808</v>
      </c>
    </row>
    <row r="54" spans="2:10">
      <c r="B54" s="10" t="s">
        <v>2520</v>
      </c>
      <c r="E54" s="12">
        <v>44830</v>
      </c>
      <c r="F54" s="15" t="s">
        <v>2522</v>
      </c>
      <c r="J54" s="191" t="s">
        <v>2808</v>
      </c>
    </row>
    <row r="55" spans="2:10">
      <c r="B55" s="7" t="s">
        <v>2518</v>
      </c>
      <c r="D55" s="7" t="s">
        <v>2418</v>
      </c>
      <c r="E55" s="12"/>
      <c r="J55" s="42" t="s">
        <v>2407</v>
      </c>
    </row>
    <row r="56" spans="2:10">
      <c r="B56" s="10" t="s">
        <v>2519</v>
      </c>
      <c r="E56" s="12">
        <v>44830</v>
      </c>
      <c r="F56" s="15" t="s">
        <v>2629</v>
      </c>
      <c r="J56" s="191" t="s">
        <v>2809</v>
      </c>
    </row>
    <row r="57" spans="2:10">
      <c r="B57" s="10" t="s">
        <v>2520</v>
      </c>
      <c r="E57" s="12">
        <v>44830</v>
      </c>
      <c r="F57" s="15" t="s">
        <v>2630</v>
      </c>
      <c r="J57" s="191" t="s">
        <v>2809</v>
      </c>
    </row>
    <row r="58" spans="2:10">
      <c r="J58" s="42" t="s">
        <v>2407</v>
      </c>
    </row>
    <row r="59" spans="2:10">
      <c r="B59" s="7" t="s">
        <v>2513</v>
      </c>
      <c r="C59" s="7" t="s">
        <v>2515</v>
      </c>
      <c r="D59" s="7" t="s">
        <v>2418</v>
      </c>
      <c r="E59" s="12">
        <v>44830</v>
      </c>
      <c r="G59" s="7" t="s">
        <v>2640</v>
      </c>
      <c r="J59" s="191" t="s">
        <v>2798</v>
      </c>
    </row>
    <row r="60" spans="2:10">
      <c r="B60" s="7" t="s">
        <v>2514</v>
      </c>
      <c r="C60" s="7" t="s">
        <v>2516</v>
      </c>
      <c r="D60" s="7" t="s">
        <v>2418</v>
      </c>
      <c r="E60" s="12">
        <v>44830</v>
      </c>
      <c r="G60" s="7" t="s">
        <v>2639</v>
      </c>
      <c r="J60" s="191" t="s">
        <v>2798</v>
      </c>
    </row>
    <row r="61" spans="2:10">
      <c r="B61" s="7" t="s">
        <v>2631</v>
      </c>
      <c r="C61" s="7" t="s">
        <v>2633</v>
      </c>
      <c r="D61" s="7" t="s">
        <v>2418</v>
      </c>
      <c r="E61" s="12">
        <v>44830</v>
      </c>
      <c r="G61" s="7" t="s">
        <v>2641</v>
      </c>
      <c r="J61" s="191" t="s">
        <v>2797</v>
      </c>
    </row>
    <row r="62" spans="2:10">
      <c r="B62" s="7" t="s">
        <v>2632</v>
      </c>
      <c r="C62" s="7" t="s">
        <v>2634</v>
      </c>
      <c r="D62" s="7" t="s">
        <v>2418</v>
      </c>
      <c r="E62" s="12">
        <v>44830</v>
      </c>
      <c r="G62" s="7" t="s">
        <v>2642</v>
      </c>
      <c r="J62" s="191" t="s">
        <v>2797</v>
      </c>
    </row>
    <row r="63" spans="2:10">
      <c r="B63" s="7" t="s">
        <v>2635</v>
      </c>
      <c r="C63" s="7" t="s">
        <v>2637</v>
      </c>
      <c r="D63" s="7" t="s">
        <v>2418</v>
      </c>
      <c r="E63" s="12">
        <v>44830</v>
      </c>
      <c r="G63" s="7" t="s">
        <v>2643</v>
      </c>
      <c r="J63" s="10" t="s">
        <v>2710</v>
      </c>
    </row>
    <row r="64" spans="2:10">
      <c r="B64" s="7" t="s">
        <v>2636</v>
      </c>
      <c r="C64" s="7" t="s">
        <v>2638</v>
      </c>
      <c r="D64" s="7" t="s">
        <v>2418</v>
      </c>
      <c r="E64" s="12">
        <v>44830</v>
      </c>
      <c r="G64" s="7" t="s">
        <v>2644</v>
      </c>
      <c r="J64" s="10" t="s">
        <v>2710</v>
      </c>
    </row>
    <row r="65" spans="2:10">
      <c r="B65" s="7" t="s">
        <v>2645</v>
      </c>
      <c r="C65" s="7" t="s">
        <v>2649</v>
      </c>
      <c r="D65" s="7" t="s">
        <v>2418</v>
      </c>
      <c r="E65" s="12">
        <v>44830</v>
      </c>
      <c r="G65" s="7" t="s">
        <v>2647</v>
      </c>
      <c r="J65" s="10" t="s">
        <v>2799</v>
      </c>
    </row>
    <row r="66" spans="2:10">
      <c r="B66" s="7" t="s">
        <v>2651</v>
      </c>
      <c r="C66" s="7" t="s">
        <v>2652</v>
      </c>
      <c r="D66" s="7" t="s">
        <v>2418</v>
      </c>
      <c r="E66" s="12">
        <v>44830</v>
      </c>
      <c r="G66" s="7" t="s">
        <v>2655</v>
      </c>
      <c r="J66" s="10" t="s">
        <v>2799</v>
      </c>
    </row>
    <row r="67" spans="2:10">
      <c r="B67" s="7" t="s">
        <v>2646</v>
      </c>
      <c r="C67" s="7" t="s">
        <v>2650</v>
      </c>
      <c r="D67" s="7" t="s">
        <v>2418</v>
      </c>
      <c r="E67" s="12">
        <v>44830</v>
      </c>
      <c r="G67" s="7" t="s">
        <v>2648</v>
      </c>
      <c r="J67" s="10" t="s">
        <v>2800</v>
      </c>
    </row>
    <row r="68" spans="2:10">
      <c r="B68" s="7" t="s">
        <v>2653</v>
      </c>
      <c r="C68" s="7" t="s">
        <v>2654</v>
      </c>
      <c r="D68" s="7" t="s">
        <v>2418</v>
      </c>
      <c r="E68" s="12">
        <v>44830</v>
      </c>
      <c r="G68" s="7" t="s">
        <v>2656</v>
      </c>
      <c r="J68" s="10" t="s">
        <v>2800</v>
      </c>
    </row>
    <row r="69" spans="2:10">
      <c r="H69" s="42" t="s">
        <v>2407</v>
      </c>
    </row>
    <row r="70" spans="2:10">
      <c r="H70" s="42" t="s">
        <v>2407</v>
      </c>
    </row>
    <row r="71" spans="2:10">
      <c r="H71" s="42" t="s">
        <v>2407</v>
      </c>
    </row>
    <row r="72" spans="2:10" ht="17.25" thickBot="1">
      <c r="B72" s="14" t="s">
        <v>2801</v>
      </c>
      <c r="C72" s="14"/>
      <c r="D72" s="14"/>
      <c r="E72" s="14"/>
      <c r="F72" s="14"/>
      <c r="G72" s="14"/>
      <c r="H72" s="14"/>
      <c r="I72" s="14"/>
      <c r="J72" s="14"/>
    </row>
    <row r="73" spans="2:10" ht="15" thickTop="1">
      <c r="H73" s="42" t="s">
        <v>2407</v>
      </c>
    </row>
    <row r="74" spans="2:10" ht="15">
      <c r="B74" s="290" t="s">
        <v>2802</v>
      </c>
      <c r="C74" s="290"/>
      <c r="D74" s="290"/>
      <c r="E74" s="290"/>
      <c r="H74" s="42" t="s">
        <v>2407</v>
      </c>
    </row>
    <row r="75" spans="2:10">
      <c r="B75" s="289" t="s">
        <v>2803</v>
      </c>
      <c r="C75" s="289"/>
      <c r="D75" s="289"/>
      <c r="E75" s="193" t="s">
        <v>2807</v>
      </c>
      <c r="H75" s="42"/>
    </row>
    <row r="76" spans="2:10">
      <c r="B76" s="7" t="str">
        <f>'Racial Composition'!C5</f>
        <v>Table 1. Racial composition of Entiat and Chelan County, 2015 and 2020</v>
      </c>
      <c r="E76" s="7" t="s">
        <v>2697</v>
      </c>
      <c r="H76" s="42" t="s">
        <v>2407</v>
      </c>
    </row>
    <row r="77" spans="2:10">
      <c r="B77" s="7" t="str">
        <f>'Racial Composition'!C74</f>
        <v>Table 2. Racial composition percentage of Entiat and Chelan County 2015 and 2020</v>
      </c>
      <c r="E77" s="7" t="s">
        <v>2697</v>
      </c>
    </row>
    <row r="78" spans="2:10">
      <c r="B78" s="7" t="str">
        <f>'Cost Burden'!C4</f>
        <v>Table 3. Entiat number of households by housing cost burden, 2019</v>
      </c>
      <c r="E78" s="7" t="s">
        <v>2804</v>
      </c>
    </row>
    <row r="79" spans="2:10">
      <c r="B79" s="7" t="str">
        <f>'Cost Burden'!C173</f>
        <v>Table 4. Entiat percentage of households by housing cost burden, 2019</v>
      </c>
      <c r="E79" s="7" t="s">
        <v>2804</v>
      </c>
    </row>
    <row r="80" spans="2:10">
      <c r="B80" s="7" t="str">
        <f>'Rental Affordability'!C5</f>
        <v>Table 5. Entiat and Chelan County rental units by affordability and households by income, 2019</v>
      </c>
      <c r="E80" s="7" t="s">
        <v>1266</v>
      </c>
    </row>
    <row r="81" spans="2:5">
      <c r="B81" s="7" t="str">
        <f>Income!B6</f>
        <v>Table 6. Entiat count of households by income and race, 2019</v>
      </c>
      <c r="E81" s="7" t="s">
        <v>2662</v>
      </c>
    </row>
    <row r="82" spans="2:5">
      <c r="B82" s="7" t="str">
        <f>Income!B119</f>
        <v>Table 7. Entiat five year change in households by income and race, 2014 - 2019</v>
      </c>
      <c r="E82" s="7" t="s">
        <v>2662</v>
      </c>
    </row>
    <row r="83" spans="2:5">
      <c r="B83" s="7" t="str">
        <f>Income!B146</f>
        <v>Table 8. Entiat five year change in distribution of households by income and race, 2014 - 2019</v>
      </c>
      <c r="E83" s="7" t="s">
        <v>2662</v>
      </c>
    </row>
    <row r="84" spans="2:5">
      <c r="B84" s="7" t="str">
        <f>Tenure!B5</f>
        <v>Table 9. Entiat count of owner and renter households by racial group, 2019</v>
      </c>
      <c r="E84" s="7" t="s">
        <v>0</v>
      </c>
    </row>
    <row r="86" spans="2:5" ht="15">
      <c r="B86" s="290" t="s">
        <v>2805</v>
      </c>
      <c r="C86" s="290"/>
      <c r="D86" s="290"/>
      <c r="E86" s="290"/>
    </row>
    <row r="87" spans="2:5">
      <c r="B87" s="10" t="s">
        <v>2806</v>
      </c>
    </row>
    <row r="88" spans="2:5">
      <c r="B88" s="7" t="str">
        <f>'Racial Composition'!C29</f>
        <v>Chart 1. Entiat population by race and Hispanic or Latino ethnicity, 2020</v>
      </c>
      <c r="E88" s="7" t="s">
        <v>2697</v>
      </c>
    </row>
    <row r="89" spans="2:5">
      <c r="B89" s="7" t="str">
        <f>'Racial Composition'!C56</f>
        <v>Chart 1a. Entiat population by race and Hispanic ethnicity, 2020</v>
      </c>
      <c r="E89" s="7" t="s">
        <v>2697</v>
      </c>
    </row>
    <row r="90" spans="2:5">
      <c r="B90" s="7" t="str">
        <f>'Racial Composition'!C87</f>
        <v>Chart 2. Racial composition of Entiat and Chelan County, 2020</v>
      </c>
      <c r="E90" s="7" t="s">
        <v>2697</v>
      </c>
    </row>
    <row r="91" spans="2:5">
      <c r="B91" s="7" t="str">
        <f>'Racial Composition'!C113</f>
        <v>Chart 2a. Racial composition of Entiat and Chelan County, 2020</v>
      </c>
      <c r="E91" s="7" t="s">
        <v>2697</v>
      </c>
    </row>
    <row r="92" spans="2:5">
      <c r="B92" s="7" t="str">
        <f>'Racial Composition'!C138</f>
        <v>Chart 3. Racial composition of Entiat and Chelan County, 2015 and 2020</v>
      </c>
      <c r="E92" s="7" t="s">
        <v>2697</v>
      </c>
    </row>
    <row r="93" spans="2:5">
      <c r="B93" s="7" t="str">
        <f>'Cost Burden'!C29</f>
        <v>Chart 4. Entiat total housing cost burden by racial and ethnic group, 2019</v>
      </c>
      <c r="E93" s="7" t="s">
        <v>2804</v>
      </c>
    </row>
    <row r="94" spans="2:5">
      <c r="B94" s="7" t="str">
        <f>'Cost Burden'!C53</f>
        <v>Chart 4a. Entiat total housing cost burden by racial and ethnic group, 2019</v>
      </c>
      <c r="E94" s="7" t="s">
        <v>2804</v>
      </c>
    </row>
    <row r="95" spans="2:5">
      <c r="B95" s="7" t="str">
        <f>'Cost Burden'!C76</f>
        <v>Chart 5. Entiat number of owner households by race and cost burden, 2019</v>
      </c>
      <c r="E95" s="7" t="s">
        <v>2804</v>
      </c>
    </row>
    <row r="96" spans="2:5">
      <c r="B96" s="7" t="str">
        <f>'Cost Burden'!C100</f>
        <v>Chart 5a. Entiat number of owner households by race and cost burden, 2019</v>
      </c>
      <c r="E96" s="7" t="s">
        <v>2804</v>
      </c>
    </row>
    <row r="97" spans="2:5">
      <c r="B97" s="7" t="str">
        <f>'Cost Burden'!C124</f>
        <v>Chart 6. Entiat renter households by race and cost burden, 2019</v>
      </c>
      <c r="E97" s="7" t="s">
        <v>2804</v>
      </c>
    </row>
    <row r="98" spans="2:5">
      <c r="B98" s="7" t="str">
        <f>'Cost Burden'!C148</f>
        <v>Chart 6a. Entiat renter households by race and cost burden, 2019</v>
      </c>
      <c r="E98" s="7" t="s">
        <v>2804</v>
      </c>
    </row>
    <row r="99" spans="2:5">
      <c r="B99" s="7" t="str">
        <f>'Cost Burden'!C202</f>
        <v>Chart 7. Entiat percent of all households experiencing housing cost burden, 2019</v>
      </c>
      <c r="E99" s="7" t="s">
        <v>2804</v>
      </c>
    </row>
    <row r="100" spans="2:5">
      <c r="B100" s="7" t="str">
        <f>'Cost Burden'!C228</f>
        <v>Chart 7a. Entiat percent of all households experiencing housing cost burden, 2019</v>
      </c>
      <c r="E100" s="7" t="s">
        <v>2804</v>
      </c>
    </row>
    <row r="101" spans="2:5">
      <c r="B101" s="7" t="str">
        <f>'Cost Burden'!C246</f>
        <v>Chart 8. Entiat percent owner households experiencing housing cost burden, 2019</v>
      </c>
      <c r="E101" s="7" t="s">
        <v>2804</v>
      </c>
    </row>
    <row r="102" spans="2:5">
      <c r="B102" s="7" t="str">
        <f>'Cost Burden'!C272</f>
        <v>Chart 8a. Entiat percent owner households experiencing housing cost burden, 2019</v>
      </c>
      <c r="E102" s="7" t="s">
        <v>2804</v>
      </c>
    </row>
    <row r="103" spans="2:5">
      <c r="B103" s="7" t="str">
        <f>'Cost Burden'!C291</f>
        <v>Chart 9. Entiat percent renter households experiencing housing cost burden, 2019</v>
      </c>
      <c r="E103" s="7" t="s">
        <v>2804</v>
      </c>
    </row>
    <row r="104" spans="2:5">
      <c r="B104" s="7" t="str">
        <f>'Cost Burden'!C317</f>
        <v>Chart 9a. Entiat percent renter households experiencing housing cost burden, 2019</v>
      </c>
      <c r="E104" s="7" t="s">
        <v>2804</v>
      </c>
    </row>
    <row r="105" spans="2:5">
      <c r="B105" s="7" t="str">
        <f>'Rental Affordability'!C20</f>
        <v>Chart 10. Entiat and Chelan County renter household income compared to rental unit affordability, 2019</v>
      </c>
      <c r="E105" s="7" t="s">
        <v>1266</v>
      </c>
    </row>
    <row r="106" spans="2:5">
      <c r="B106" s="7" t="str">
        <f>'Rental Affordability'!C45</f>
        <v>Chart 11. Entiat renter households by income compared to rental units by affordability, 2019</v>
      </c>
      <c r="E106" s="7" t="s">
        <v>1266</v>
      </c>
    </row>
    <row r="107" spans="2:5">
      <c r="B107" s="7" t="str">
        <f>'Rental Affordability'!C78</f>
        <v>Chart 12. Entiat five year change in renter households by income and rental units by affordability, 2014 - 2019</v>
      </c>
      <c r="E107" s="7" t="s">
        <v>1266</v>
      </c>
    </row>
    <row r="108" spans="2:5">
      <c r="B108" s="7" t="str">
        <f>Income!B31</f>
        <v>Chart 13. Entiat number of households by income category and race, 2019</v>
      </c>
      <c r="E108" s="7" t="s">
        <v>2662</v>
      </c>
    </row>
    <row r="109" spans="2:5">
      <c r="B109" s="7" t="str">
        <f>Income!B55</f>
        <v>Chart 13a. Entiat number of households by income category and race, 2019</v>
      </c>
      <c r="E109" s="7" t="s">
        <v>2662</v>
      </c>
    </row>
    <row r="110" spans="2:5">
      <c r="B110" s="7" t="str">
        <f>Income!B78</f>
        <v>Chart 14. Entiat distribution of households by income and race or ethnicity, 2019</v>
      </c>
      <c r="E110" s="7" t="s">
        <v>2662</v>
      </c>
    </row>
    <row r="111" spans="2:5">
      <c r="B111" s="7" t="str">
        <f>Income!B100</f>
        <v>Chart 14a. Entiat distribution of households by income and race or ethnicity, 2019</v>
      </c>
      <c r="E111" s="7" t="s">
        <v>2662</v>
      </c>
    </row>
    <row r="112" spans="2:5">
      <c r="B112" s="7" t="str">
        <f>Income!B172</f>
        <v>Chart 15. Entiat percentage of all households by income category and race, (2010 - 2014 vs 2015 - 2019)</v>
      </c>
      <c r="E112" s="7" t="s">
        <v>2662</v>
      </c>
    </row>
    <row r="113" spans="2:5">
      <c r="B113" s="7" t="str">
        <f>Tenure!B22</f>
        <v>Chart 16. Entiat total number of owner and renter households by race and ethnicity, 2019</v>
      </c>
      <c r="E113" s="7" t="s">
        <v>0</v>
      </c>
    </row>
    <row r="114" spans="2:5">
      <c r="B114" s="7" t="str">
        <f>Tenure!B47</f>
        <v>Chart 16a. Entiat total number of owner and renter households by race and ethnicity, 2019</v>
      </c>
      <c r="E114" s="7" t="s">
        <v>0</v>
      </c>
    </row>
    <row r="115" spans="2:5">
      <c r="B115" s="7" t="str">
        <f>Tenure!B69</f>
        <v xml:space="preserve">Chart 17. Entiat percent owner and renter households by race and ethnicity, 2019 </v>
      </c>
      <c r="E115" s="7" t="s">
        <v>0</v>
      </c>
    </row>
    <row r="116" spans="2:5">
      <c r="B116" s="7" t="str">
        <f>Tenure!B95</f>
        <v xml:space="preserve">Chart 17a. Entiat percent owner and renter households by race and ethnicity, 2019 </v>
      </c>
      <c r="E116" s="7" t="s">
        <v>0</v>
      </c>
    </row>
  </sheetData>
  <mergeCells count="3">
    <mergeCell ref="B75:D75"/>
    <mergeCell ref="B74:E74"/>
    <mergeCell ref="B86:E86"/>
  </mergeCells>
  <dataValidations count="2">
    <dataValidation type="list" allowBlank="1" showInputMessage="1" showErrorMessage="1" sqref="C6">
      <formula1>WA_CDPs_Range</formula1>
    </dataValidation>
    <dataValidation type="list" allowBlank="1" showInputMessage="1" showErrorMessage="1" sqref="C7">
      <formula1>WA_Counties_Range</formula1>
    </dataValidation>
  </dataValidations>
  <hyperlinks>
    <hyperlink ref="F53" r:id="rId1"/>
    <hyperlink ref="F54" r:id="rId2"/>
    <hyperlink ref="F56" r:id="rId3"/>
    <hyperlink ref="F57" r:id="rId4"/>
    <hyperlink ref="F48" r:id="rId5"/>
  </hyperlinks>
  <pageMargins left="0.7" right="0.7" top="0.75" bottom="0.75" header="0.3" footer="0.3"/>
  <pageSetup paperSize="154" orientation="portrait" r:id="rId6"/>
  <drawing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5"/>
    <pageSetUpPr fitToPage="1"/>
  </sheetPr>
  <dimension ref="A1:W102"/>
  <sheetViews>
    <sheetView zoomScaleNormal="100" workbookViewId="0">
      <selection activeCell="K84" sqref="K84"/>
    </sheetView>
  </sheetViews>
  <sheetFormatPr defaultRowHeight="14.25"/>
  <cols>
    <col min="4" max="10" width="8.375" customWidth="1"/>
    <col min="15" max="21" width="8.375" customWidth="1"/>
  </cols>
  <sheetData>
    <row r="1" spans="1:21">
      <c r="A1" s="150"/>
      <c r="B1" s="150"/>
      <c r="C1" s="150"/>
      <c r="D1" s="150"/>
      <c r="E1" s="150"/>
      <c r="F1" s="150"/>
      <c r="G1" s="150"/>
      <c r="H1" s="150"/>
      <c r="I1" s="150"/>
      <c r="J1" s="150"/>
      <c r="L1" s="150"/>
      <c r="M1" s="150"/>
      <c r="N1" s="150"/>
      <c r="O1" s="150"/>
      <c r="P1" s="150"/>
      <c r="Q1" s="150"/>
      <c r="R1" s="150"/>
      <c r="S1" s="150"/>
      <c r="T1" s="150"/>
      <c r="U1" s="150"/>
    </row>
    <row r="2" spans="1:21" ht="18">
      <c r="A2" s="151" t="s">
        <v>2728</v>
      </c>
      <c r="B2" s="150"/>
      <c r="C2" s="150"/>
      <c r="D2" s="150"/>
      <c r="E2" s="150"/>
      <c r="F2" s="150"/>
      <c r="G2" s="150"/>
      <c r="H2" s="150"/>
      <c r="I2" s="150"/>
      <c r="J2" s="150"/>
      <c r="L2" s="151" t="s">
        <v>2765</v>
      </c>
      <c r="M2" s="150"/>
      <c r="N2" s="150"/>
      <c r="O2" s="150"/>
      <c r="P2" s="150"/>
      <c r="Q2" s="150"/>
      <c r="R2" s="150"/>
      <c r="S2" s="150"/>
      <c r="T2" s="150"/>
      <c r="U2" s="150"/>
    </row>
    <row r="3" spans="1:21">
      <c r="A3" s="150"/>
      <c r="B3" s="150"/>
      <c r="C3" s="150"/>
      <c r="D3" s="150"/>
      <c r="E3" s="150"/>
      <c r="F3" s="150"/>
      <c r="G3" s="150"/>
      <c r="H3" s="150"/>
      <c r="I3" s="150"/>
      <c r="J3" s="150"/>
      <c r="L3" s="150"/>
      <c r="M3" s="150"/>
      <c r="N3" s="150"/>
      <c r="O3" s="150"/>
      <c r="P3" s="150"/>
      <c r="Q3" s="150"/>
      <c r="R3" s="150"/>
      <c r="S3" s="150"/>
      <c r="T3" s="150"/>
      <c r="U3" s="150"/>
    </row>
    <row r="4" spans="1:21">
      <c r="A4" s="150"/>
      <c r="B4" s="150"/>
      <c r="C4" s="150"/>
      <c r="D4" s="150"/>
      <c r="E4" s="150"/>
      <c r="F4" s="150"/>
      <c r="G4" s="150"/>
      <c r="H4" s="150"/>
      <c r="I4" s="150"/>
      <c r="J4" s="150"/>
      <c r="L4" s="150"/>
      <c r="M4" s="150"/>
      <c r="N4" s="150"/>
      <c r="O4" s="150"/>
      <c r="P4" s="150"/>
      <c r="Q4" s="150"/>
      <c r="R4" s="150"/>
      <c r="S4" s="150"/>
      <c r="T4" s="150"/>
      <c r="U4" s="150"/>
    </row>
    <row r="5" spans="1:21">
      <c r="A5" s="150"/>
      <c r="B5" s="150"/>
      <c r="C5" s="150"/>
      <c r="D5" s="150"/>
      <c r="E5" s="150"/>
      <c r="F5" s="150"/>
      <c r="G5" s="150"/>
      <c r="H5" s="150"/>
      <c r="I5" s="150"/>
      <c r="J5" s="150"/>
      <c r="L5" s="150"/>
      <c r="M5" s="150"/>
      <c r="N5" s="150"/>
      <c r="O5" s="150"/>
      <c r="P5" s="150"/>
      <c r="Q5" s="150"/>
      <c r="R5" s="150"/>
      <c r="S5" s="150"/>
      <c r="T5" s="150"/>
      <c r="U5" s="150"/>
    </row>
    <row r="6" spans="1:21">
      <c r="A6" s="150"/>
      <c r="B6" s="150"/>
      <c r="C6" s="150"/>
      <c r="D6" s="150"/>
      <c r="E6" s="150"/>
      <c r="F6" s="150"/>
      <c r="G6" s="150"/>
      <c r="H6" s="150"/>
      <c r="I6" s="150"/>
      <c r="J6" s="150"/>
      <c r="L6" s="150"/>
      <c r="M6" s="150"/>
      <c r="N6" s="150"/>
      <c r="O6" s="150"/>
      <c r="P6" s="150"/>
      <c r="Q6" s="150"/>
      <c r="R6" s="150"/>
      <c r="S6" s="150"/>
      <c r="T6" s="150"/>
      <c r="U6" s="150"/>
    </row>
    <row r="7" spans="1:21">
      <c r="A7" s="150"/>
      <c r="B7" s="150"/>
      <c r="C7" s="150"/>
      <c r="D7" s="150"/>
      <c r="E7" s="150"/>
      <c r="F7" s="150"/>
      <c r="G7" s="150"/>
      <c r="H7" s="150"/>
      <c r="I7" s="150"/>
      <c r="J7" s="150"/>
      <c r="L7" s="150"/>
      <c r="M7" s="150"/>
      <c r="N7" s="150"/>
      <c r="O7" s="150"/>
      <c r="P7" s="150"/>
      <c r="Q7" s="150"/>
      <c r="R7" s="150"/>
      <c r="S7" s="150"/>
      <c r="T7" s="150"/>
      <c r="U7" s="150"/>
    </row>
    <row r="8" spans="1:21">
      <c r="A8" s="150"/>
      <c r="B8" s="150"/>
      <c r="C8" s="150"/>
      <c r="D8" s="150"/>
      <c r="E8" s="150"/>
      <c r="F8" s="150"/>
      <c r="G8" s="150"/>
      <c r="H8" s="150"/>
      <c r="I8" s="150"/>
      <c r="J8" s="150"/>
      <c r="L8" s="150"/>
      <c r="M8" s="150"/>
      <c r="N8" s="150"/>
      <c r="O8" s="150"/>
      <c r="P8" s="150"/>
      <c r="Q8" s="150"/>
      <c r="R8" s="150"/>
      <c r="S8" s="150"/>
      <c r="T8" s="150"/>
      <c r="U8" s="150"/>
    </row>
    <row r="9" spans="1:21">
      <c r="A9" s="150"/>
      <c r="B9" s="150"/>
      <c r="C9" s="150"/>
      <c r="D9" s="150"/>
      <c r="E9" s="150"/>
      <c r="F9" s="150"/>
      <c r="G9" s="150"/>
      <c r="H9" s="150"/>
      <c r="I9" s="150"/>
      <c r="J9" s="150"/>
      <c r="L9" s="150"/>
      <c r="M9" s="150"/>
      <c r="N9" s="150"/>
      <c r="O9" s="150"/>
      <c r="P9" s="150"/>
      <c r="Q9" s="150"/>
      <c r="R9" s="150"/>
      <c r="S9" s="150"/>
      <c r="T9" s="150"/>
      <c r="U9" s="150"/>
    </row>
    <row r="10" spans="1:21">
      <c r="A10" s="150"/>
      <c r="B10" s="150"/>
      <c r="C10" s="150"/>
      <c r="D10" s="150"/>
      <c r="E10" s="150"/>
      <c r="F10" s="150"/>
      <c r="G10" s="150"/>
      <c r="H10" s="150"/>
      <c r="I10" s="150"/>
      <c r="J10" s="150"/>
      <c r="L10" s="150"/>
      <c r="M10" s="150"/>
      <c r="N10" s="150"/>
      <c r="O10" s="150"/>
      <c r="P10" s="150"/>
      <c r="Q10" s="150"/>
      <c r="R10" s="150"/>
      <c r="S10" s="150"/>
      <c r="T10" s="150"/>
      <c r="U10" s="150"/>
    </row>
    <row r="11" spans="1:21">
      <c r="A11" s="150"/>
      <c r="B11" s="150"/>
      <c r="C11" s="150"/>
      <c r="D11" s="150"/>
      <c r="E11" s="150"/>
      <c r="F11" s="150"/>
      <c r="G11" s="150"/>
      <c r="H11" s="150"/>
      <c r="I11" s="150"/>
      <c r="J11" s="150"/>
      <c r="L11" s="150"/>
      <c r="M11" s="150"/>
      <c r="N11" s="150"/>
      <c r="O11" s="150"/>
      <c r="P11" s="150"/>
      <c r="Q11" s="150"/>
      <c r="R11" s="150"/>
      <c r="S11" s="150"/>
      <c r="T11" s="150"/>
      <c r="U11" s="150"/>
    </row>
    <row r="12" spans="1:21">
      <c r="A12" s="150"/>
      <c r="B12" s="150"/>
      <c r="C12" s="150"/>
      <c r="D12" s="150"/>
      <c r="E12" s="150"/>
      <c r="F12" s="150"/>
      <c r="G12" s="150"/>
      <c r="H12" s="150"/>
      <c r="I12" s="150"/>
      <c r="J12" s="150"/>
      <c r="L12" s="150"/>
      <c r="M12" s="150"/>
      <c r="N12" s="150"/>
      <c r="O12" s="150"/>
      <c r="P12" s="150"/>
      <c r="Q12" s="150"/>
      <c r="R12" s="150"/>
      <c r="S12" s="150"/>
      <c r="T12" s="150"/>
      <c r="U12" s="150"/>
    </row>
    <row r="13" spans="1:21">
      <c r="A13" s="150"/>
      <c r="B13" s="150"/>
      <c r="C13" s="150"/>
      <c r="D13" s="150"/>
      <c r="E13" s="150"/>
      <c r="F13" s="150"/>
      <c r="G13" s="150"/>
      <c r="H13" s="150"/>
      <c r="I13" s="150"/>
      <c r="J13" s="150"/>
      <c r="L13" s="150"/>
      <c r="M13" s="150"/>
      <c r="N13" s="150"/>
      <c r="O13" s="150"/>
      <c r="P13" s="150"/>
      <c r="Q13" s="150"/>
      <c r="R13" s="150"/>
      <c r="S13" s="150"/>
      <c r="T13" s="150"/>
      <c r="U13" s="150"/>
    </row>
    <row r="14" spans="1:21" ht="18">
      <c r="A14" s="151" t="s">
        <v>2729</v>
      </c>
      <c r="B14" s="150"/>
      <c r="C14" s="150"/>
      <c r="D14" s="150"/>
      <c r="E14" s="150"/>
      <c r="F14" s="150"/>
      <c r="G14" s="150"/>
      <c r="H14" s="150"/>
      <c r="I14" s="150"/>
      <c r="J14" s="150"/>
      <c r="L14" s="150"/>
      <c r="M14" s="150"/>
      <c r="N14" s="150"/>
      <c r="O14" s="150"/>
      <c r="P14" s="150"/>
      <c r="Q14" s="150"/>
      <c r="R14" s="150"/>
      <c r="S14" s="150"/>
      <c r="T14" s="150"/>
      <c r="U14" s="150"/>
    </row>
    <row r="15" spans="1:21">
      <c r="A15" s="150"/>
      <c r="B15" s="150"/>
      <c r="C15" s="150"/>
      <c r="D15" s="150"/>
      <c r="E15" s="150"/>
      <c r="F15" s="150"/>
      <c r="G15" s="150"/>
      <c r="H15" s="150"/>
      <c r="I15" s="150"/>
      <c r="J15" s="150"/>
      <c r="L15" s="150"/>
      <c r="M15" s="150"/>
      <c r="N15" s="150"/>
      <c r="O15" s="150"/>
      <c r="P15" s="150"/>
      <c r="Q15" s="150"/>
      <c r="R15" s="150"/>
      <c r="S15" s="150"/>
      <c r="T15" s="150"/>
      <c r="U15" s="150"/>
    </row>
    <row r="16" spans="1:21">
      <c r="A16" s="150"/>
      <c r="B16" s="150"/>
      <c r="C16" s="150"/>
      <c r="D16" s="150"/>
      <c r="E16" s="150"/>
      <c r="F16" s="150"/>
      <c r="G16" s="150"/>
      <c r="H16" s="150"/>
      <c r="I16" s="150"/>
      <c r="J16" s="150"/>
      <c r="L16" s="150"/>
      <c r="M16" s="150"/>
      <c r="N16" s="150"/>
      <c r="O16" s="150"/>
      <c r="P16" s="150"/>
      <c r="Q16" s="150"/>
      <c r="R16" s="150"/>
      <c r="S16" s="150"/>
      <c r="T16" s="150"/>
      <c r="U16" s="150"/>
    </row>
    <row r="17" spans="1:21">
      <c r="A17" s="150"/>
      <c r="B17" s="150"/>
      <c r="C17" s="150"/>
      <c r="D17" s="150"/>
      <c r="E17" s="150"/>
      <c r="F17" s="150"/>
      <c r="G17" s="150"/>
      <c r="H17" s="150"/>
      <c r="I17" s="150"/>
      <c r="J17" s="150"/>
      <c r="L17" s="150"/>
      <c r="M17" s="150"/>
      <c r="N17" s="150"/>
      <c r="O17" s="150"/>
      <c r="P17" s="150"/>
      <c r="Q17" s="150"/>
      <c r="R17" s="150"/>
      <c r="S17" s="150"/>
      <c r="T17" s="150"/>
      <c r="U17" s="150"/>
    </row>
    <row r="18" spans="1:21">
      <c r="A18" s="150"/>
      <c r="B18" s="150"/>
      <c r="C18" s="150"/>
      <c r="D18" s="150"/>
      <c r="E18" s="150"/>
      <c r="F18" s="150"/>
      <c r="G18" s="150"/>
      <c r="H18" s="150"/>
      <c r="I18" s="150"/>
      <c r="J18" s="150"/>
      <c r="L18" s="150"/>
      <c r="M18" s="150"/>
      <c r="N18" s="150"/>
      <c r="O18" s="150"/>
      <c r="P18" s="150"/>
      <c r="Q18" s="150"/>
      <c r="R18" s="150"/>
      <c r="S18" s="150"/>
      <c r="T18" s="150"/>
      <c r="U18" s="150"/>
    </row>
    <row r="19" spans="1:21">
      <c r="A19" s="150"/>
      <c r="B19" s="150"/>
      <c r="C19" s="150"/>
      <c r="D19" s="150"/>
      <c r="E19" s="150"/>
      <c r="F19" s="150"/>
      <c r="G19" s="150"/>
      <c r="H19" s="150"/>
      <c r="I19" s="150"/>
      <c r="J19" s="150"/>
      <c r="L19" s="150"/>
      <c r="M19" s="150"/>
      <c r="N19" s="150"/>
      <c r="O19" s="150"/>
      <c r="P19" s="150"/>
      <c r="Q19" s="150"/>
      <c r="R19" s="150"/>
      <c r="S19" s="150"/>
      <c r="T19" s="150"/>
      <c r="U19" s="150"/>
    </row>
    <row r="20" spans="1:21">
      <c r="A20" s="150"/>
      <c r="B20" s="150"/>
      <c r="C20" s="150"/>
      <c r="D20" s="150"/>
      <c r="E20" s="150"/>
      <c r="F20" s="150"/>
      <c r="G20" s="150"/>
      <c r="H20" s="150"/>
      <c r="I20" s="150"/>
      <c r="J20" s="150"/>
      <c r="L20" s="150"/>
      <c r="M20" s="150"/>
      <c r="N20" s="150"/>
      <c r="O20" s="150"/>
      <c r="P20" s="150"/>
      <c r="Q20" s="150"/>
      <c r="R20" s="150"/>
      <c r="S20" s="150"/>
      <c r="T20" s="150"/>
      <c r="U20" s="150"/>
    </row>
    <row r="21" spans="1:21">
      <c r="A21" s="150"/>
      <c r="B21" s="150"/>
      <c r="C21" s="150"/>
      <c r="D21" s="150"/>
      <c r="E21" s="150"/>
      <c r="F21" s="150"/>
      <c r="G21" s="150"/>
      <c r="H21" s="150"/>
      <c r="I21" s="150"/>
      <c r="J21" s="150"/>
      <c r="L21" s="150"/>
      <c r="M21" s="150"/>
      <c r="N21" s="150"/>
      <c r="O21" s="150"/>
      <c r="P21" s="150"/>
      <c r="Q21" s="150"/>
      <c r="R21" s="150"/>
      <c r="S21" s="150"/>
      <c r="T21" s="150"/>
      <c r="U21" s="150"/>
    </row>
    <row r="22" spans="1:21" ht="22.5" customHeight="1">
      <c r="A22" s="150"/>
      <c r="B22" s="292" t="s">
        <v>2730</v>
      </c>
      <c r="C22" s="292"/>
      <c r="D22" s="204" t="s">
        <v>2751</v>
      </c>
      <c r="E22" s="150"/>
      <c r="F22" s="150"/>
      <c r="G22" s="150"/>
      <c r="H22" s="150"/>
      <c r="I22" s="150"/>
      <c r="J22" s="150"/>
      <c r="L22" s="150"/>
      <c r="M22" s="150"/>
      <c r="N22" s="150"/>
      <c r="O22" s="150"/>
      <c r="P22" s="150"/>
      <c r="Q22" s="150"/>
      <c r="R22" s="150"/>
      <c r="S22" s="150"/>
      <c r="T22" s="150"/>
      <c r="U22" s="150"/>
    </row>
    <row r="23" spans="1:21" ht="8.25" customHeight="1">
      <c r="A23" s="150"/>
      <c r="B23" s="150"/>
      <c r="C23" s="150"/>
      <c r="D23" s="150"/>
      <c r="E23" s="150"/>
      <c r="F23" s="150"/>
      <c r="G23" s="150"/>
      <c r="H23" s="150"/>
      <c r="I23" s="150"/>
      <c r="J23" s="150"/>
      <c r="L23" s="150"/>
      <c r="M23" s="150"/>
      <c r="N23" s="150"/>
      <c r="O23" s="150"/>
      <c r="P23" s="150"/>
      <c r="Q23" s="150"/>
      <c r="R23" s="150"/>
      <c r="S23" s="150"/>
      <c r="T23" s="150"/>
      <c r="U23" s="150"/>
    </row>
    <row r="24" spans="1:21" ht="21.75" customHeight="1">
      <c r="A24" s="150"/>
      <c r="B24" s="293" t="s">
        <v>2731</v>
      </c>
      <c r="C24" s="293"/>
      <c r="D24" s="204" t="s">
        <v>2817</v>
      </c>
      <c r="E24" s="150"/>
      <c r="F24" s="150"/>
      <c r="G24" s="150"/>
      <c r="H24" s="150"/>
      <c r="I24" s="150"/>
      <c r="J24" s="150"/>
      <c r="L24" s="150"/>
      <c r="M24" s="150"/>
      <c r="N24" s="150"/>
      <c r="O24" s="150"/>
      <c r="P24" s="150"/>
      <c r="Q24" s="150"/>
      <c r="R24" s="150"/>
      <c r="S24" s="150"/>
      <c r="T24" s="150"/>
      <c r="U24" s="150"/>
    </row>
    <row r="25" spans="1:21" ht="10.5" customHeight="1">
      <c r="A25" s="150"/>
      <c r="B25" s="150"/>
      <c r="C25" s="150"/>
      <c r="D25" s="150"/>
      <c r="E25" s="150"/>
      <c r="F25" s="150"/>
      <c r="G25" s="150"/>
      <c r="H25" s="150"/>
      <c r="I25" s="150"/>
      <c r="J25" s="150"/>
      <c r="L25" s="150"/>
      <c r="M25" s="150"/>
      <c r="N25" s="150"/>
      <c r="O25" s="150"/>
      <c r="P25" s="150"/>
      <c r="Q25" s="150"/>
      <c r="R25" s="150"/>
      <c r="S25" s="150"/>
      <c r="T25" s="150"/>
      <c r="U25" s="150"/>
    </row>
    <row r="26" spans="1:21" ht="21.75" customHeight="1">
      <c r="A26" s="150"/>
      <c r="B26" s="296" t="s">
        <v>2732</v>
      </c>
      <c r="C26" s="296"/>
      <c r="D26" s="291" t="s">
        <v>2750</v>
      </c>
      <c r="E26" s="291"/>
      <c r="F26" s="291"/>
      <c r="G26" s="291"/>
      <c r="H26" s="291"/>
      <c r="I26" s="291"/>
      <c r="J26" s="291"/>
      <c r="L26" s="150"/>
      <c r="M26" s="150"/>
      <c r="N26" s="150"/>
      <c r="O26" s="150"/>
      <c r="P26" s="150"/>
      <c r="Q26" s="150"/>
      <c r="R26" s="150"/>
      <c r="S26" s="150"/>
      <c r="T26" s="150"/>
      <c r="U26" s="150"/>
    </row>
    <row r="27" spans="1:21" ht="12" customHeight="1">
      <c r="A27" s="150"/>
      <c r="B27" s="296"/>
      <c r="C27" s="296"/>
      <c r="D27" s="291"/>
      <c r="E27" s="291"/>
      <c r="F27" s="291"/>
      <c r="G27" s="291"/>
      <c r="H27" s="291"/>
      <c r="I27" s="291"/>
      <c r="J27" s="291"/>
      <c r="L27" s="150"/>
      <c r="M27" s="150"/>
      <c r="N27" s="150"/>
      <c r="O27" s="150"/>
      <c r="P27" s="150"/>
      <c r="Q27" s="150"/>
      <c r="R27" s="150"/>
      <c r="S27" s="150"/>
      <c r="T27" s="150"/>
      <c r="U27" s="150"/>
    </row>
    <row r="28" spans="1:21" ht="18.75" customHeight="1">
      <c r="A28" s="150"/>
      <c r="B28" s="150"/>
      <c r="C28" s="150"/>
      <c r="D28" s="150"/>
      <c r="E28" s="150"/>
      <c r="F28" s="150"/>
      <c r="G28" s="150"/>
      <c r="H28" s="150"/>
      <c r="I28" s="150"/>
      <c r="J28" s="150"/>
      <c r="L28" s="150"/>
      <c r="M28" s="150"/>
      <c r="N28" s="150"/>
      <c r="O28" s="150"/>
      <c r="P28" s="150"/>
      <c r="Q28" s="150"/>
      <c r="R28" s="150"/>
      <c r="S28" s="150"/>
      <c r="T28" s="150"/>
      <c r="U28" s="150"/>
    </row>
    <row r="29" spans="1:21">
      <c r="A29" s="150"/>
      <c r="B29" s="295" t="s">
        <v>2733</v>
      </c>
      <c r="C29" s="295"/>
      <c r="D29" s="291" t="s">
        <v>2749</v>
      </c>
      <c r="E29" s="291"/>
      <c r="F29" s="291"/>
      <c r="G29" s="291"/>
      <c r="H29" s="291"/>
      <c r="I29" s="291"/>
      <c r="J29" s="291"/>
      <c r="L29" s="150"/>
      <c r="M29" s="150"/>
      <c r="N29" s="150"/>
      <c r="O29" s="150"/>
      <c r="P29" s="150"/>
      <c r="Q29" s="150"/>
      <c r="R29" s="150"/>
      <c r="S29" s="150"/>
      <c r="T29" s="150"/>
      <c r="U29" s="150"/>
    </row>
    <row r="30" spans="1:21">
      <c r="A30" s="150"/>
      <c r="B30" s="295"/>
      <c r="C30" s="295"/>
      <c r="D30" s="291"/>
      <c r="E30" s="291"/>
      <c r="F30" s="291"/>
      <c r="G30" s="291"/>
      <c r="H30" s="291"/>
      <c r="I30" s="291"/>
      <c r="J30" s="291"/>
      <c r="L30" s="150"/>
      <c r="M30" s="150"/>
      <c r="N30" s="150"/>
      <c r="O30" s="150"/>
      <c r="P30" s="150"/>
      <c r="Q30" s="150"/>
      <c r="R30" s="150"/>
      <c r="S30" s="150"/>
      <c r="T30" s="150"/>
      <c r="U30" s="150"/>
    </row>
    <row r="31" spans="1:21" ht="14.25" customHeight="1">
      <c r="A31" s="150"/>
      <c r="B31" s="150"/>
      <c r="C31" s="150"/>
      <c r="D31" s="150"/>
      <c r="E31" s="150"/>
      <c r="F31" s="150"/>
      <c r="G31" s="150"/>
      <c r="H31" s="150"/>
      <c r="I31" s="150"/>
      <c r="J31" s="150"/>
      <c r="L31" s="150"/>
      <c r="M31" s="150"/>
      <c r="N31" s="150"/>
      <c r="O31" s="150"/>
      <c r="P31" s="150"/>
      <c r="Q31" s="150"/>
      <c r="R31" s="150"/>
      <c r="S31" s="150"/>
      <c r="T31" s="150"/>
      <c r="U31" s="150"/>
    </row>
    <row r="32" spans="1:21">
      <c r="A32" s="150"/>
      <c r="B32" s="294" t="s">
        <v>2734</v>
      </c>
      <c r="C32" s="294"/>
      <c r="D32" s="291" t="s">
        <v>2815</v>
      </c>
      <c r="E32" s="291"/>
      <c r="F32" s="291"/>
      <c r="G32" s="291"/>
      <c r="H32" s="291"/>
      <c r="I32" s="291"/>
      <c r="J32" s="291"/>
      <c r="L32" s="150"/>
      <c r="M32" s="150"/>
      <c r="N32" s="150"/>
      <c r="O32" s="150"/>
      <c r="P32" s="150"/>
      <c r="Q32" s="150"/>
      <c r="R32" s="150"/>
      <c r="S32" s="150"/>
      <c r="T32" s="150"/>
      <c r="U32" s="150"/>
    </row>
    <row r="33" spans="1:23">
      <c r="A33" s="150"/>
      <c r="B33" s="294"/>
      <c r="C33" s="294"/>
      <c r="D33" s="291"/>
      <c r="E33" s="291"/>
      <c r="F33" s="291"/>
      <c r="G33" s="291"/>
      <c r="H33" s="291"/>
      <c r="I33" s="291"/>
      <c r="J33" s="291"/>
      <c r="L33" s="150"/>
      <c r="M33" s="150"/>
      <c r="N33" s="150"/>
      <c r="O33" s="150"/>
      <c r="P33" s="150"/>
      <c r="Q33" s="150"/>
      <c r="R33" s="150"/>
      <c r="S33" s="150"/>
      <c r="T33" s="150"/>
      <c r="U33" s="150"/>
    </row>
    <row r="34" spans="1:23">
      <c r="A34" s="150"/>
      <c r="B34" s="294"/>
      <c r="C34" s="294"/>
      <c r="D34" s="291"/>
      <c r="E34" s="291"/>
      <c r="F34" s="291"/>
      <c r="G34" s="291"/>
      <c r="H34" s="291"/>
      <c r="I34" s="291"/>
      <c r="J34" s="291"/>
      <c r="L34" s="150"/>
      <c r="M34" s="150"/>
      <c r="N34" s="150"/>
      <c r="O34" s="150"/>
      <c r="P34" s="150"/>
      <c r="Q34" s="150"/>
      <c r="R34" s="150"/>
      <c r="S34" s="150"/>
      <c r="T34" s="150"/>
      <c r="U34" s="150"/>
    </row>
    <row r="35" spans="1:23">
      <c r="A35" s="150"/>
      <c r="B35" s="294"/>
      <c r="C35" s="294"/>
      <c r="D35" s="291"/>
      <c r="E35" s="291"/>
      <c r="F35" s="291"/>
      <c r="G35" s="291"/>
      <c r="H35" s="291"/>
      <c r="I35" s="291"/>
      <c r="J35" s="291"/>
      <c r="L35" s="150"/>
      <c r="M35" s="150"/>
      <c r="N35" s="150"/>
      <c r="O35" s="150"/>
      <c r="P35" s="150"/>
      <c r="Q35" s="150"/>
      <c r="R35" s="150"/>
      <c r="S35" s="150"/>
      <c r="T35" s="150"/>
      <c r="U35" s="150"/>
    </row>
    <row r="36" spans="1:23">
      <c r="A36" s="150"/>
      <c r="B36" s="150"/>
      <c r="C36" s="150"/>
      <c r="D36" s="150"/>
      <c r="E36" s="150"/>
      <c r="F36" s="150"/>
      <c r="G36" s="150"/>
      <c r="H36" s="150"/>
      <c r="I36" s="150"/>
      <c r="J36" s="150"/>
      <c r="L36" s="150"/>
      <c r="M36" s="150"/>
      <c r="N36" s="150"/>
      <c r="O36" s="150"/>
      <c r="P36" s="150"/>
      <c r="Q36" s="150"/>
      <c r="R36" s="150"/>
      <c r="S36" s="150"/>
      <c r="T36" s="150"/>
      <c r="U36" s="150"/>
    </row>
    <row r="37" spans="1:23" ht="18">
      <c r="A37" s="151" t="s">
        <v>2784</v>
      </c>
      <c r="B37" s="150"/>
      <c r="C37" s="150"/>
      <c r="D37" s="150"/>
      <c r="E37" s="150"/>
      <c r="F37" s="150"/>
      <c r="G37" s="150"/>
      <c r="H37" s="150"/>
      <c r="I37" s="150"/>
      <c r="J37" s="150"/>
      <c r="L37" s="151" t="s">
        <v>2785</v>
      </c>
      <c r="M37" s="150"/>
      <c r="N37" s="150"/>
      <c r="O37" s="150"/>
      <c r="P37" s="150"/>
      <c r="Q37" s="150"/>
      <c r="R37" s="150"/>
      <c r="S37" s="150"/>
      <c r="T37" s="150"/>
      <c r="U37" s="150"/>
    </row>
    <row r="38" spans="1:23">
      <c r="A38" s="150"/>
      <c r="B38" s="150"/>
      <c r="C38" s="150"/>
      <c r="D38" s="150"/>
      <c r="E38" s="150"/>
      <c r="F38" s="150"/>
      <c r="G38" s="150"/>
      <c r="H38" s="150"/>
      <c r="I38" s="150"/>
      <c r="J38" s="150"/>
      <c r="L38" s="150"/>
      <c r="M38" s="150"/>
      <c r="N38" s="150"/>
      <c r="O38" s="150"/>
      <c r="P38" s="150"/>
      <c r="Q38" s="150"/>
      <c r="R38" s="150"/>
      <c r="S38" s="150"/>
      <c r="T38" s="150"/>
      <c r="U38" s="150"/>
      <c r="W38" s="7"/>
    </row>
    <row r="39" spans="1:23">
      <c r="A39" s="150"/>
      <c r="B39" s="150"/>
      <c r="C39" s="150"/>
      <c r="D39" s="150"/>
      <c r="E39" s="150"/>
      <c r="F39" s="150"/>
      <c r="G39" s="150"/>
      <c r="H39" s="150"/>
      <c r="I39" s="150"/>
      <c r="J39" s="150"/>
      <c r="L39" s="150"/>
      <c r="M39" s="150"/>
      <c r="N39" s="150"/>
      <c r="O39" s="150"/>
      <c r="P39" s="150"/>
      <c r="Q39" s="150"/>
      <c r="R39" s="150"/>
      <c r="S39" s="150"/>
      <c r="T39" s="150"/>
      <c r="U39" s="150"/>
      <c r="W39" s="7"/>
    </row>
    <row r="40" spans="1:23">
      <c r="A40" s="150"/>
      <c r="B40" s="150"/>
      <c r="C40" s="150"/>
      <c r="D40" s="150"/>
      <c r="E40" s="150"/>
      <c r="F40" s="150"/>
      <c r="G40" s="150"/>
      <c r="H40" s="150"/>
      <c r="I40" s="150"/>
      <c r="J40" s="150"/>
      <c r="L40" s="150"/>
      <c r="M40" s="150"/>
      <c r="N40" s="150"/>
      <c r="O40" s="150"/>
      <c r="P40" s="150"/>
      <c r="Q40" s="150"/>
      <c r="R40" s="150"/>
      <c r="S40" s="150"/>
      <c r="T40" s="150"/>
      <c r="U40" s="150"/>
      <c r="W40" s="7"/>
    </row>
    <row r="41" spans="1:23">
      <c r="A41" s="150"/>
      <c r="B41" s="150"/>
      <c r="C41" s="150"/>
      <c r="D41" s="150"/>
      <c r="E41" s="150"/>
      <c r="F41" s="150"/>
      <c r="G41" s="150"/>
      <c r="H41" s="150"/>
      <c r="I41" s="150"/>
      <c r="J41" s="150"/>
      <c r="L41" s="150"/>
      <c r="M41" s="150"/>
      <c r="N41" s="150"/>
      <c r="O41" s="150"/>
      <c r="P41" s="150"/>
      <c r="Q41" s="150"/>
      <c r="R41" s="150"/>
      <c r="S41" s="150"/>
      <c r="T41" s="150"/>
      <c r="U41" s="150"/>
      <c r="W41" s="7"/>
    </row>
    <row r="42" spans="1:23">
      <c r="A42" s="150"/>
      <c r="B42" s="150"/>
      <c r="C42" s="150"/>
      <c r="D42" s="150"/>
      <c r="E42" s="150"/>
      <c r="F42" s="150"/>
      <c r="G42" s="150"/>
      <c r="H42" s="150"/>
      <c r="I42" s="150"/>
      <c r="J42" s="150"/>
      <c r="L42" s="150"/>
      <c r="M42" s="150"/>
      <c r="N42" s="150"/>
      <c r="O42" s="150"/>
      <c r="P42" s="150"/>
      <c r="Q42" s="150"/>
      <c r="R42" s="150"/>
      <c r="S42" s="150"/>
      <c r="T42" s="150"/>
      <c r="U42" s="150"/>
      <c r="W42" s="28"/>
    </row>
    <row r="43" spans="1:23">
      <c r="A43" s="150"/>
      <c r="B43" s="150"/>
      <c r="C43" s="150"/>
      <c r="D43" s="150"/>
      <c r="E43" s="150"/>
      <c r="F43" s="150"/>
      <c r="G43" s="150"/>
      <c r="H43" s="150"/>
      <c r="I43" s="150"/>
      <c r="J43" s="150"/>
      <c r="L43" s="150"/>
      <c r="M43" s="150"/>
      <c r="N43" s="150"/>
      <c r="O43" s="150"/>
      <c r="P43" s="150"/>
      <c r="Q43" s="150"/>
      <c r="R43" s="150"/>
      <c r="S43" s="150"/>
      <c r="T43" s="150"/>
      <c r="U43" s="150"/>
    </row>
    <row r="44" spans="1:23">
      <c r="A44" s="150"/>
      <c r="B44" s="150"/>
      <c r="C44" s="150"/>
      <c r="D44" s="150"/>
      <c r="E44" s="150"/>
      <c r="F44" s="150"/>
      <c r="G44" s="150"/>
      <c r="H44" s="150"/>
      <c r="I44" s="150"/>
      <c r="J44" s="150"/>
      <c r="L44" s="150"/>
      <c r="M44" s="150"/>
      <c r="N44" s="150"/>
      <c r="O44" s="150"/>
      <c r="P44" s="150"/>
      <c r="Q44" s="150"/>
      <c r="R44" s="150"/>
      <c r="S44" s="150"/>
      <c r="T44" s="150"/>
      <c r="U44" s="150"/>
    </row>
    <row r="45" spans="1:23">
      <c r="A45" s="150"/>
      <c r="B45" s="150"/>
      <c r="C45" s="150"/>
      <c r="D45" s="150"/>
      <c r="E45" s="150"/>
      <c r="F45" s="150"/>
      <c r="G45" s="150"/>
      <c r="H45" s="150"/>
      <c r="I45" s="150"/>
      <c r="J45" s="150"/>
      <c r="L45" s="150"/>
      <c r="M45" s="150"/>
      <c r="N45" s="150"/>
      <c r="O45" s="150"/>
      <c r="P45" s="150"/>
      <c r="Q45" s="150"/>
      <c r="R45" s="150"/>
      <c r="S45" s="150"/>
      <c r="T45" s="150"/>
      <c r="U45" s="150"/>
    </row>
    <row r="46" spans="1:23">
      <c r="A46" s="150"/>
      <c r="B46" s="150"/>
      <c r="C46" s="150"/>
      <c r="D46" s="150"/>
      <c r="E46" s="150"/>
      <c r="F46" s="150"/>
      <c r="G46" s="150"/>
      <c r="H46" s="150"/>
      <c r="I46" s="150"/>
      <c r="J46" s="150"/>
      <c r="L46" s="150"/>
      <c r="M46" s="150"/>
      <c r="N46" s="150"/>
      <c r="O46" s="150"/>
      <c r="P46" s="150"/>
      <c r="Q46" s="150"/>
      <c r="R46" s="150"/>
      <c r="S46" s="150"/>
      <c r="T46" s="150"/>
      <c r="U46" s="150"/>
      <c r="W46" s="31"/>
    </row>
    <row r="47" spans="1:23" ht="15" customHeight="1">
      <c r="A47" s="150"/>
      <c r="B47" s="150"/>
      <c r="C47" s="150"/>
      <c r="D47" s="150"/>
      <c r="E47" s="150"/>
      <c r="F47" s="150"/>
      <c r="G47" s="150"/>
      <c r="H47" s="150"/>
      <c r="I47" s="150"/>
      <c r="J47" s="150"/>
      <c r="L47" s="150"/>
      <c r="M47" s="150"/>
      <c r="N47" s="150"/>
      <c r="O47" s="150"/>
      <c r="P47" s="150"/>
      <c r="Q47" s="150"/>
      <c r="R47" s="150"/>
      <c r="S47" s="150"/>
      <c r="T47" s="150"/>
      <c r="U47" s="150"/>
      <c r="W47" s="31"/>
    </row>
    <row r="48" spans="1:23" ht="13.9" customHeight="1">
      <c r="A48" s="150"/>
      <c r="B48" s="150"/>
      <c r="C48" s="150"/>
      <c r="D48" s="150"/>
      <c r="E48" s="150"/>
      <c r="F48" s="150"/>
      <c r="G48" s="150"/>
      <c r="H48" s="150"/>
      <c r="I48" s="150"/>
      <c r="J48" s="150"/>
      <c r="L48" s="150"/>
      <c r="M48" s="150"/>
      <c r="N48" s="150"/>
      <c r="O48" s="150"/>
      <c r="P48" s="150"/>
      <c r="Q48" s="150"/>
      <c r="R48" s="150"/>
      <c r="S48" s="150"/>
      <c r="T48" s="150"/>
      <c r="U48" s="150"/>
      <c r="W48" s="31"/>
    </row>
    <row r="49" spans="1:23" ht="13.9" customHeight="1">
      <c r="A49" s="150"/>
      <c r="B49" s="150"/>
      <c r="C49" s="150"/>
      <c r="D49" s="150"/>
      <c r="E49" s="150"/>
      <c r="F49" s="150"/>
      <c r="G49" s="150"/>
      <c r="H49" s="150"/>
      <c r="I49" s="150"/>
      <c r="J49" s="150"/>
      <c r="L49" s="150"/>
      <c r="M49" s="150"/>
      <c r="N49" s="150"/>
      <c r="O49" s="150"/>
      <c r="P49" s="150"/>
      <c r="Q49" s="150"/>
      <c r="R49" s="150"/>
      <c r="S49" s="150"/>
      <c r="T49" s="150"/>
      <c r="U49" s="150"/>
      <c r="W49" s="31"/>
    </row>
    <row r="50" spans="1:23">
      <c r="A50" s="150"/>
      <c r="B50" s="150"/>
      <c r="C50" s="150"/>
      <c r="D50" s="150"/>
      <c r="E50" s="150"/>
      <c r="F50" s="150"/>
      <c r="G50" s="150"/>
      <c r="H50" s="150"/>
      <c r="I50" s="150"/>
      <c r="J50" s="150"/>
      <c r="L50" s="150"/>
      <c r="M50" s="150"/>
      <c r="N50" s="150"/>
      <c r="O50" s="150"/>
      <c r="P50" s="150"/>
      <c r="Q50" s="150"/>
      <c r="R50" s="150"/>
      <c r="S50" s="150"/>
      <c r="T50" s="150"/>
      <c r="U50" s="150"/>
    </row>
    <row r="51" spans="1:23">
      <c r="A51" s="150"/>
      <c r="B51" s="150"/>
      <c r="C51" s="150"/>
      <c r="D51" s="150"/>
      <c r="E51" s="150"/>
      <c r="F51" s="150"/>
      <c r="G51" s="150"/>
      <c r="H51" s="150"/>
      <c r="I51" s="150"/>
      <c r="J51" s="150"/>
      <c r="L51" s="150"/>
      <c r="M51" s="150"/>
      <c r="N51" s="150"/>
      <c r="O51" s="150"/>
      <c r="P51" s="150"/>
      <c r="Q51" s="150"/>
      <c r="R51" s="150"/>
      <c r="S51" s="150"/>
      <c r="T51" s="150"/>
      <c r="U51" s="150"/>
    </row>
    <row r="52" spans="1:23">
      <c r="A52" s="150"/>
      <c r="B52" s="150"/>
      <c r="C52" s="150"/>
      <c r="D52" s="150"/>
      <c r="E52" s="150"/>
      <c r="F52" s="150"/>
      <c r="G52" s="150"/>
      <c r="H52" s="150"/>
      <c r="I52" s="150"/>
      <c r="J52" s="150"/>
      <c r="L52" s="150"/>
      <c r="M52" s="150"/>
      <c r="N52" s="150"/>
      <c r="O52" s="150"/>
      <c r="P52" s="150"/>
      <c r="Q52" s="150"/>
      <c r="R52" s="150"/>
      <c r="S52" s="150"/>
      <c r="T52" s="150"/>
      <c r="U52" s="150"/>
    </row>
    <row r="53" spans="1:23" ht="14.45" customHeight="1">
      <c r="A53" s="150"/>
      <c r="B53" s="150"/>
      <c r="C53" s="150"/>
      <c r="D53" s="150"/>
      <c r="E53" s="150"/>
      <c r="F53" s="150"/>
      <c r="G53" s="150"/>
      <c r="H53" s="150"/>
      <c r="I53" s="150"/>
      <c r="J53" s="150"/>
      <c r="L53" s="150"/>
      <c r="M53" s="150"/>
      <c r="N53" s="150"/>
      <c r="O53" s="150"/>
      <c r="P53" s="150"/>
      <c r="Q53" s="150"/>
      <c r="R53" s="150"/>
      <c r="S53" s="150"/>
      <c r="T53" s="150"/>
      <c r="U53" s="150"/>
      <c r="W53" s="33"/>
    </row>
    <row r="54" spans="1:23" ht="13.9" customHeight="1">
      <c r="A54" s="150"/>
      <c r="B54" s="150"/>
      <c r="C54" s="150"/>
      <c r="D54" s="150"/>
      <c r="E54" s="150"/>
      <c r="F54" s="150"/>
      <c r="G54" s="150"/>
      <c r="H54" s="150"/>
      <c r="I54" s="150"/>
      <c r="J54" s="150"/>
      <c r="L54" s="150"/>
      <c r="M54" s="150"/>
      <c r="N54" s="150"/>
      <c r="O54" s="150"/>
      <c r="P54" s="150"/>
      <c r="Q54" s="150"/>
      <c r="R54" s="150"/>
      <c r="S54" s="150"/>
      <c r="T54" s="150"/>
      <c r="U54" s="150"/>
      <c r="W54" s="33"/>
    </row>
    <row r="55" spans="1:23" ht="13.9" customHeight="1">
      <c r="A55" s="150"/>
      <c r="B55" s="150"/>
      <c r="C55" s="150"/>
      <c r="D55" s="150"/>
      <c r="E55" s="150"/>
      <c r="F55" s="150"/>
      <c r="G55" s="150"/>
      <c r="H55" s="150"/>
      <c r="I55" s="150"/>
      <c r="J55" s="150"/>
      <c r="L55" s="150"/>
      <c r="M55" s="150"/>
      <c r="N55" s="150"/>
      <c r="O55" s="150"/>
      <c r="P55" s="150"/>
      <c r="Q55" s="150"/>
      <c r="R55" s="150"/>
      <c r="S55" s="150"/>
      <c r="T55" s="150"/>
      <c r="U55" s="150"/>
      <c r="W55" s="33"/>
    </row>
    <row r="56" spans="1:23" ht="13.9" customHeight="1">
      <c r="A56" s="150"/>
      <c r="B56" s="150"/>
      <c r="C56" s="150"/>
      <c r="D56" s="150"/>
      <c r="E56" s="150"/>
      <c r="F56" s="150"/>
      <c r="G56" s="150"/>
      <c r="H56" s="150"/>
      <c r="I56" s="150"/>
      <c r="J56" s="150"/>
      <c r="L56" s="150"/>
      <c r="M56" s="150"/>
      <c r="N56" s="150"/>
      <c r="O56" s="150"/>
      <c r="P56" s="150"/>
      <c r="Q56" s="150"/>
      <c r="R56" s="150"/>
      <c r="S56" s="150"/>
      <c r="T56" s="150"/>
      <c r="U56" s="150"/>
      <c r="W56" s="33"/>
    </row>
    <row r="57" spans="1:23">
      <c r="A57" s="150"/>
      <c r="B57" s="150"/>
      <c r="C57" s="150"/>
      <c r="D57" s="150"/>
      <c r="E57" s="150"/>
      <c r="F57" s="150"/>
      <c r="G57" s="150"/>
      <c r="H57" s="150"/>
      <c r="I57" s="150"/>
      <c r="J57" s="150"/>
      <c r="L57" s="150"/>
      <c r="M57" s="150"/>
      <c r="N57" s="150"/>
      <c r="O57" s="150"/>
      <c r="P57" s="150"/>
      <c r="Q57" s="150"/>
      <c r="R57" s="150"/>
      <c r="S57" s="150"/>
      <c r="T57" s="150"/>
      <c r="U57" s="150"/>
      <c r="W57" s="33"/>
    </row>
    <row r="58" spans="1:23">
      <c r="A58" s="150"/>
      <c r="B58" s="150"/>
      <c r="C58" s="150"/>
      <c r="D58" s="150"/>
      <c r="E58" s="150"/>
      <c r="F58" s="150"/>
      <c r="G58" s="150"/>
      <c r="H58" s="150"/>
      <c r="I58" s="150"/>
      <c r="J58" s="150"/>
      <c r="L58" s="150"/>
      <c r="M58" s="150"/>
      <c r="N58" s="150"/>
      <c r="O58" s="150"/>
      <c r="P58" s="150"/>
      <c r="Q58" s="150"/>
      <c r="R58" s="150"/>
      <c r="S58" s="150"/>
      <c r="T58" s="150"/>
      <c r="U58" s="150"/>
    </row>
    <row r="59" spans="1:23">
      <c r="A59" s="150"/>
      <c r="B59" s="150"/>
      <c r="C59" s="150"/>
      <c r="D59" s="150"/>
      <c r="E59" s="150"/>
      <c r="F59" s="150"/>
      <c r="G59" s="150"/>
      <c r="H59" s="150"/>
      <c r="I59" s="150"/>
      <c r="J59" s="150"/>
      <c r="L59" s="150"/>
      <c r="M59" s="150"/>
      <c r="N59" s="150"/>
      <c r="O59" s="150"/>
      <c r="P59" s="150"/>
      <c r="Q59" s="150"/>
      <c r="R59" s="150"/>
      <c r="S59" s="150"/>
      <c r="T59" s="150"/>
      <c r="U59" s="150"/>
    </row>
    <row r="60" spans="1:23">
      <c r="A60" s="150"/>
      <c r="B60" s="150"/>
      <c r="C60" s="150"/>
      <c r="D60" s="150"/>
      <c r="E60" s="150"/>
      <c r="F60" s="150"/>
      <c r="G60" s="150"/>
      <c r="H60" s="150"/>
      <c r="I60" s="150"/>
      <c r="J60" s="150"/>
      <c r="L60" s="150"/>
      <c r="M60" s="150"/>
      <c r="N60" s="150"/>
      <c r="O60" s="150"/>
      <c r="P60" s="150"/>
      <c r="Q60" s="150"/>
      <c r="R60" s="150"/>
      <c r="S60" s="150"/>
      <c r="T60" s="150"/>
      <c r="U60" s="150"/>
      <c r="W60" s="33"/>
    </row>
    <row r="61" spans="1:23">
      <c r="A61" s="150"/>
      <c r="B61" s="150"/>
      <c r="C61" s="150"/>
      <c r="D61" s="150"/>
      <c r="E61" s="150"/>
      <c r="F61" s="150"/>
      <c r="G61" s="150"/>
      <c r="H61" s="150"/>
      <c r="I61" s="150"/>
      <c r="J61" s="150"/>
      <c r="L61" s="150"/>
      <c r="M61" s="150"/>
      <c r="N61" s="150"/>
      <c r="O61" s="150"/>
      <c r="P61" s="150"/>
      <c r="Q61" s="150"/>
      <c r="R61" s="150"/>
      <c r="S61" s="150"/>
      <c r="T61" s="150"/>
      <c r="U61" s="150"/>
    </row>
    <row r="62" spans="1:23">
      <c r="A62" s="150"/>
      <c r="B62" s="150"/>
      <c r="C62" s="150"/>
      <c r="D62" s="150"/>
      <c r="E62" s="150"/>
      <c r="F62" s="150"/>
      <c r="G62" s="150"/>
      <c r="H62" s="150"/>
      <c r="I62" s="150"/>
      <c r="J62" s="150"/>
      <c r="L62" s="150"/>
      <c r="M62" s="150"/>
      <c r="N62" s="150"/>
      <c r="O62" s="150"/>
      <c r="P62" s="150"/>
      <c r="Q62" s="150"/>
      <c r="R62" s="150"/>
      <c r="S62" s="150"/>
      <c r="T62" s="150"/>
      <c r="U62" s="150"/>
    </row>
    <row r="63" spans="1:23">
      <c r="A63" s="150"/>
      <c r="B63" s="150"/>
      <c r="C63" s="150"/>
      <c r="D63" s="150"/>
      <c r="E63" s="150"/>
      <c r="F63" s="150"/>
      <c r="G63" s="150"/>
      <c r="H63" s="150"/>
      <c r="I63" s="150"/>
      <c r="J63" s="150"/>
      <c r="L63" s="150"/>
      <c r="M63" s="150"/>
      <c r="N63" s="150"/>
      <c r="O63" s="150"/>
      <c r="P63" s="150"/>
      <c r="Q63" s="150"/>
      <c r="R63" s="150"/>
      <c r="S63" s="150"/>
      <c r="T63" s="150"/>
      <c r="U63" s="150"/>
    </row>
    <row r="64" spans="1:23">
      <c r="A64" s="150"/>
      <c r="B64" s="150"/>
      <c r="C64" s="150"/>
      <c r="D64" s="150"/>
      <c r="E64" s="150"/>
      <c r="F64" s="150"/>
      <c r="G64" s="150"/>
      <c r="H64" s="150"/>
      <c r="I64" s="150"/>
      <c r="J64" s="150"/>
      <c r="L64" s="150"/>
      <c r="M64" s="150"/>
      <c r="N64" s="150"/>
      <c r="O64" s="150"/>
      <c r="P64" s="150"/>
      <c r="Q64" s="150"/>
      <c r="R64" s="150"/>
      <c r="S64" s="150"/>
      <c r="T64" s="150"/>
      <c r="U64" s="150"/>
    </row>
    <row r="65" spans="1:21">
      <c r="A65" s="150"/>
      <c r="B65" s="150"/>
      <c r="C65" s="150"/>
      <c r="D65" s="150"/>
      <c r="E65" s="150"/>
      <c r="F65" s="150"/>
      <c r="G65" s="150"/>
      <c r="H65" s="150"/>
      <c r="I65" s="150"/>
      <c r="J65" s="150"/>
      <c r="L65" s="150"/>
      <c r="M65" s="150"/>
      <c r="N65" s="150"/>
      <c r="O65" s="150"/>
      <c r="P65" s="150"/>
      <c r="Q65" s="150"/>
      <c r="R65" s="150"/>
      <c r="S65" s="150"/>
      <c r="T65" s="150"/>
      <c r="U65" s="150"/>
    </row>
    <row r="66" spans="1:21">
      <c r="A66" s="150"/>
      <c r="B66" s="150"/>
      <c r="C66" s="150"/>
      <c r="D66" s="150"/>
      <c r="E66" s="150"/>
      <c r="F66" s="150"/>
      <c r="G66" s="150"/>
      <c r="H66" s="150"/>
      <c r="I66" s="150"/>
      <c r="J66" s="150"/>
      <c r="L66" s="150"/>
      <c r="M66" s="150"/>
      <c r="N66" s="150"/>
      <c r="O66" s="150"/>
      <c r="P66" s="150"/>
      <c r="Q66" s="150"/>
      <c r="R66" s="150"/>
      <c r="S66" s="150"/>
      <c r="T66" s="150"/>
      <c r="U66" s="150"/>
    </row>
    <row r="67" spans="1:21">
      <c r="A67" s="150"/>
      <c r="B67" s="150"/>
      <c r="C67" s="150"/>
      <c r="D67" s="150"/>
      <c r="E67" s="150"/>
      <c r="F67" s="150"/>
      <c r="G67" s="150"/>
      <c r="H67" s="150"/>
      <c r="I67" s="150"/>
      <c r="J67" s="150"/>
      <c r="L67" s="150"/>
      <c r="M67" s="150"/>
      <c r="N67" s="150"/>
      <c r="O67" s="150"/>
      <c r="P67" s="150"/>
      <c r="Q67" s="150"/>
      <c r="R67" s="150"/>
      <c r="S67" s="150"/>
      <c r="T67" s="150"/>
      <c r="U67" s="150"/>
    </row>
    <row r="68" spans="1:21">
      <c r="A68" s="150"/>
      <c r="B68" s="150"/>
      <c r="C68" s="150"/>
      <c r="D68" s="150"/>
      <c r="E68" s="150"/>
      <c r="F68" s="150"/>
      <c r="G68" s="150"/>
      <c r="H68" s="150"/>
      <c r="I68" s="150"/>
      <c r="J68" s="150"/>
      <c r="L68" s="150"/>
      <c r="M68" s="150"/>
      <c r="N68" s="150"/>
      <c r="O68" s="150"/>
      <c r="P68" s="150"/>
      <c r="Q68" s="150"/>
      <c r="R68" s="150"/>
      <c r="S68" s="150"/>
      <c r="T68" s="150"/>
      <c r="U68" s="150"/>
    </row>
    <row r="69" spans="1:21">
      <c r="A69" s="150"/>
      <c r="B69" s="150"/>
      <c r="C69" s="150"/>
      <c r="D69" s="150"/>
      <c r="E69" s="150"/>
      <c r="F69" s="150"/>
      <c r="G69" s="150"/>
      <c r="H69" s="150"/>
      <c r="I69" s="150"/>
      <c r="J69" s="150"/>
      <c r="L69" s="150"/>
      <c r="M69" s="150"/>
      <c r="N69" s="150"/>
      <c r="O69" s="150"/>
      <c r="P69" s="150"/>
      <c r="Q69" s="150"/>
      <c r="R69" s="150"/>
      <c r="S69" s="150"/>
      <c r="T69" s="150"/>
      <c r="U69" s="150"/>
    </row>
    <row r="70" spans="1:21">
      <c r="A70" s="150"/>
      <c r="B70" s="150"/>
      <c r="C70" s="150"/>
      <c r="D70" s="150"/>
      <c r="E70" s="150"/>
      <c r="F70" s="150"/>
      <c r="G70" s="150"/>
      <c r="H70" s="150"/>
      <c r="I70" s="150"/>
      <c r="J70" s="150"/>
      <c r="L70" s="150"/>
      <c r="M70" s="150"/>
      <c r="N70" s="150"/>
      <c r="O70" s="150"/>
      <c r="P70" s="150"/>
      <c r="Q70" s="150"/>
      <c r="R70" s="150"/>
      <c r="S70" s="150"/>
      <c r="T70" s="150"/>
      <c r="U70" s="150"/>
    </row>
    <row r="71" spans="1:21">
      <c r="A71" s="150"/>
      <c r="B71" s="150"/>
      <c r="C71" s="150"/>
      <c r="D71" s="150"/>
      <c r="E71" s="150"/>
      <c r="F71" s="150"/>
      <c r="G71" s="150"/>
      <c r="H71" s="150"/>
      <c r="I71" s="150"/>
      <c r="J71" s="150"/>
      <c r="L71" s="150"/>
      <c r="M71" s="150"/>
      <c r="N71" s="150"/>
      <c r="O71" s="150"/>
      <c r="P71" s="150"/>
      <c r="Q71" s="150"/>
      <c r="R71" s="150"/>
      <c r="S71" s="150"/>
      <c r="T71" s="150"/>
      <c r="U71" s="150"/>
    </row>
    <row r="72" spans="1:21">
      <c r="A72" s="150"/>
      <c r="B72" s="150"/>
      <c r="C72" s="150"/>
      <c r="D72" s="150"/>
      <c r="E72" s="150"/>
      <c r="F72" s="150"/>
      <c r="G72" s="150"/>
      <c r="H72" s="150"/>
      <c r="I72" s="150"/>
      <c r="J72" s="150"/>
      <c r="L72" s="150"/>
      <c r="M72" s="150"/>
      <c r="N72" s="150"/>
      <c r="O72" s="150"/>
      <c r="P72" s="150"/>
      <c r="Q72" s="150"/>
      <c r="R72" s="150"/>
      <c r="S72" s="150"/>
      <c r="T72" s="150"/>
      <c r="U72" s="150"/>
    </row>
    <row r="73" spans="1:21">
      <c r="A73" s="150"/>
      <c r="B73" s="150"/>
      <c r="C73" s="150"/>
      <c r="D73" s="150"/>
      <c r="E73" s="150"/>
      <c r="F73" s="150"/>
      <c r="G73" s="150"/>
      <c r="H73" s="150"/>
      <c r="I73" s="150"/>
      <c r="J73" s="150"/>
      <c r="L73" s="150"/>
      <c r="M73" s="150"/>
      <c r="N73" s="150"/>
      <c r="O73" s="150"/>
      <c r="P73" s="150"/>
      <c r="Q73" s="150"/>
      <c r="R73" s="150"/>
      <c r="S73" s="150"/>
      <c r="T73" s="150"/>
      <c r="U73" s="150"/>
    </row>
    <row r="74" spans="1:21">
      <c r="A74" s="150"/>
      <c r="B74" s="150"/>
      <c r="C74" s="150"/>
      <c r="D74" s="150"/>
      <c r="E74" s="150"/>
      <c r="F74" s="150"/>
      <c r="G74" s="150"/>
      <c r="H74" s="150"/>
      <c r="I74" s="150"/>
      <c r="J74" s="150"/>
      <c r="L74" s="150"/>
      <c r="M74" s="150"/>
      <c r="N74" s="150"/>
      <c r="O74" s="150"/>
      <c r="P74" s="150"/>
      <c r="Q74" s="150"/>
      <c r="R74" s="150"/>
      <c r="S74" s="150"/>
      <c r="T74" s="150"/>
      <c r="U74" s="150"/>
    </row>
    <row r="75" spans="1:21">
      <c r="A75" s="150"/>
      <c r="B75" s="150"/>
      <c r="C75" s="150"/>
      <c r="D75" s="150"/>
      <c r="E75" s="150"/>
      <c r="F75" s="150"/>
      <c r="G75" s="150"/>
      <c r="H75" s="150"/>
      <c r="I75" s="150"/>
      <c r="J75" s="150"/>
      <c r="L75" s="150"/>
      <c r="M75" s="150"/>
      <c r="N75" s="150"/>
      <c r="O75" s="150"/>
      <c r="P75" s="150"/>
      <c r="Q75" s="150"/>
      <c r="R75" s="150"/>
      <c r="S75" s="150"/>
      <c r="T75" s="150"/>
      <c r="U75" s="150"/>
    </row>
    <row r="76" spans="1:21">
      <c r="A76" s="150"/>
      <c r="B76" s="150"/>
      <c r="C76" s="150"/>
      <c r="D76" s="150"/>
      <c r="E76" s="150"/>
      <c r="F76" s="150"/>
      <c r="G76" s="150"/>
      <c r="H76" s="150"/>
      <c r="I76" s="150"/>
      <c r="J76" s="150"/>
      <c r="L76" s="150"/>
      <c r="M76" s="150"/>
      <c r="N76" s="150"/>
      <c r="O76" s="150"/>
      <c r="P76" s="150"/>
      <c r="Q76" s="150"/>
      <c r="R76" s="150"/>
      <c r="S76" s="150"/>
      <c r="T76" s="150"/>
      <c r="U76" s="150"/>
    </row>
    <row r="77" spans="1:21">
      <c r="A77" s="150"/>
      <c r="B77" s="150"/>
      <c r="C77" s="150"/>
      <c r="D77" s="150"/>
      <c r="E77" s="150"/>
      <c r="F77" s="150"/>
      <c r="G77" s="150"/>
      <c r="H77" s="150"/>
      <c r="I77" s="150"/>
      <c r="J77" s="150"/>
      <c r="L77" s="150"/>
      <c r="M77" s="150"/>
      <c r="N77" s="150"/>
      <c r="O77" s="150"/>
      <c r="P77" s="150"/>
      <c r="Q77" s="150"/>
      <c r="R77" s="150"/>
      <c r="S77" s="150"/>
      <c r="T77" s="150"/>
      <c r="U77" s="150"/>
    </row>
    <row r="78" spans="1:21">
      <c r="A78" s="150"/>
      <c r="B78" s="150"/>
      <c r="C78" s="150"/>
      <c r="D78" s="150"/>
      <c r="E78" s="150"/>
      <c r="F78" s="150"/>
      <c r="G78" s="150"/>
      <c r="H78" s="150"/>
      <c r="I78" s="150"/>
      <c r="J78" s="150"/>
      <c r="L78" s="150"/>
      <c r="M78" s="150"/>
      <c r="N78" s="150"/>
      <c r="O78" s="150"/>
      <c r="P78" s="150"/>
      <c r="Q78" s="150"/>
      <c r="R78" s="150"/>
      <c r="S78" s="150"/>
      <c r="T78" s="150"/>
      <c r="U78" s="150"/>
    </row>
    <row r="79" spans="1:21">
      <c r="A79" s="150"/>
      <c r="B79" s="150"/>
      <c r="C79" s="150"/>
      <c r="D79" s="150"/>
      <c r="E79" s="150"/>
      <c r="F79" s="150"/>
      <c r="G79" s="150"/>
      <c r="H79" s="150"/>
      <c r="I79" s="150"/>
      <c r="J79" s="150"/>
      <c r="L79" s="150"/>
      <c r="M79" s="150"/>
      <c r="N79" s="150"/>
      <c r="O79" s="150"/>
      <c r="P79" s="150"/>
      <c r="Q79" s="150"/>
      <c r="R79" s="150"/>
      <c r="S79" s="150"/>
      <c r="T79" s="150"/>
      <c r="U79" s="150"/>
    </row>
    <row r="80" spans="1:21">
      <c r="A80" s="150"/>
      <c r="B80" s="150"/>
      <c r="C80" s="150"/>
      <c r="D80" s="150"/>
      <c r="E80" s="150"/>
      <c r="F80" s="150"/>
      <c r="G80" s="150"/>
      <c r="H80" s="150"/>
      <c r="I80" s="150"/>
      <c r="J80" s="150"/>
      <c r="L80" s="150"/>
      <c r="M80" s="150"/>
      <c r="N80" s="150"/>
      <c r="O80" s="150"/>
      <c r="P80" s="150"/>
      <c r="Q80" s="150"/>
      <c r="R80" s="150"/>
      <c r="S80" s="150"/>
      <c r="T80" s="150"/>
      <c r="U80" s="150"/>
    </row>
    <row r="81" spans="1:21">
      <c r="A81" s="150"/>
      <c r="B81" s="150"/>
      <c r="C81" s="150"/>
      <c r="D81" s="150"/>
      <c r="E81" s="150"/>
      <c r="F81" s="150"/>
      <c r="G81" s="150"/>
      <c r="H81" s="150"/>
      <c r="I81" s="150"/>
      <c r="J81" s="150"/>
      <c r="L81" s="150"/>
      <c r="M81" s="150"/>
      <c r="N81" s="150"/>
      <c r="O81" s="150"/>
      <c r="P81" s="150"/>
      <c r="Q81" s="150"/>
      <c r="R81" s="150"/>
      <c r="S81" s="150"/>
      <c r="T81" s="150"/>
      <c r="U81" s="150"/>
    </row>
    <row r="82" spans="1:21">
      <c r="A82" s="150"/>
      <c r="B82" s="150"/>
      <c r="C82" s="150"/>
      <c r="D82" s="150"/>
      <c r="E82" s="150"/>
      <c r="F82" s="150"/>
      <c r="G82" s="150"/>
      <c r="H82" s="150"/>
      <c r="I82" s="150"/>
      <c r="J82" s="150"/>
      <c r="L82" s="150"/>
      <c r="M82" s="150"/>
      <c r="N82" s="150"/>
      <c r="O82" s="150"/>
      <c r="P82" s="150"/>
      <c r="Q82" s="150"/>
      <c r="R82" s="150"/>
      <c r="S82" s="150"/>
      <c r="T82" s="150"/>
      <c r="U82" s="150"/>
    </row>
    <row r="83" spans="1:21">
      <c r="A83" s="150"/>
      <c r="B83" s="150"/>
      <c r="C83" s="150"/>
      <c r="D83" s="150"/>
      <c r="E83" s="150"/>
      <c r="F83" s="150"/>
      <c r="G83" s="150"/>
      <c r="H83" s="150"/>
      <c r="I83" s="150"/>
      <c r="J83" s="150"/>
      <c r="L83" s="150"/>
      <c r="M83" s="150"/>
      <c r="N83" s="150"/>
      <c r="O83" s="150"/>
      <c r="P83" s="150"/>
      <c r="Q83" s="150"/>
      <c r="R83" s="150"/>
      <c r="S83" s="150"/>
      <c r="T83" s="150"/>
      <c r="U83" s="150"/>
    </row>
    <row r="84" spans="1:21">
      <c r="A84" s="150"/>
      <c r="B84" s="150"/>
      <c r="C84" s="150"/>
      <c r="D84" s="150"/>
      <c r="E84" s="150"/>
      <c r="F84" s="150"/>
      <c r="G84" s="150"/>
      <c r="H84" s="150"/>
      <c r="I84" s="150"/>
      <c r="J84" s="150"/>
      <c r="L84" s="150"/>
      <c r="M84" s="150"/>
      <c r="N84" s="150"/>
      <c r="O84" s="150"/>
      <c r="P84" s="150"/>
      <c r="Q84" s="150"/>
      <c r="R84" s="150"/>
      <c r="S84" s="150"/>
      <c r="T84" s="150"/>
      <c r="U84" s="150"/>
    </row>
    <row r="85" spans="1:21">
      <c r="A85" s="150"/>
      <c r="B85" s="150"/>
      <c r="C85" s="150"/>
      <c r="D85" s="150"/>
      <c r="E85" s="150"/>
      <c r="F85" s="150"/>
      <c r="G85" s="150"/>
      <c r="H85" s="150"/>
      <c r="I85" s="150"/>
      <c r="J85" s="150"/>
      <c r="L85" s="150"/>
      <c r="M85" s="150"/>
      <c r="N85" s="150"/>
      <c r="O85" s="150"/>
      <c r="P85" s="150"/>
      <c r="Q85" s="150"/>
      <c r="R85" s="150"/>
      <c r="S85" s="150"/>
      <c r="T85" s="150"/>
      <c r="U85" s="150"/>
    </row>
    <row r="86" spans="1:21">
      <c r="A86" s="150"/>
      <c r="B86" s="150"/>
      <c r="C86" s="150"/>
      <c r="D86" s="150"/>
      <c r="E86" s="150"/>
      <c r="F86" s="150"/>
      <c r="G86" s="150"/>
      <c r="H86" s="150"/>
      <c r="I86" s="150"/>
      <c r="J86" s="150"/>
      <c r="L86" s="150"/>
      <c r="M86" s="150"/>
      <c r="N86" s="150"/>
      <c r="O86" s="150"/>
      <c r="P86" s="150"/>
      <c r="Q86" s="150"/>
      <c r="R86" s="150"/>
      <c r="S86" s="150"/>
      <c r="T86" s="150"/>
      <c r="U86" s="150"/>
    </row>
    <row r="87" spans="1:21">
      <c r="A87" s="150"/>
      <c r="B87" s="150"/>
      <c r="C87" s="150"/>
      <c r="D87" s="150"/>
      <c r="E87" s="150"/>
      <c r="F87" s="150"/>
      <c r="G87" s="150"/>
      <c r="H87" s="150"/>
      <c r="I87" s="150"/>
      <c r="J87" s="150"/>
      <c r="L87" s="150"/>
      <c r="M87" s="150"/>
      <c r="N87" s="150"/>
      <c r="O87" s="150"/>
      <c r="P87" s="150"/>
      <c r="Q87" s="150"/>
      <c r="R87" s="150"/>
      <c r="S87" s="150"/>
      <c r="T87" s="150"/>
      <c r="U87" s="150"/>
    </row>
    <row r="88" spans="1:21">
      <c r="A88" s="150"/>
      <c r="B88" s="150"/>
      <c r="C88" s="150"/>
      <c r="D88" s="150"/>
      <c r="E88" s="150"/>
      <c r="F88" s="150"/>
      <c r="G88" s="150"/>
      <c r="H88" s="150"/>
      <c r="I88" s="150"/>
      <c r="J88" s="150"/>
      <c r="L88" s="150"/>
      <c r="M88" s="150"/>
      <c r="N88" s="150"/>
      <c r="O88" s="150"/>
      <c r="P88" s="150"/>
      <c r="Q88" s="150"/>
      <c r="R88" s="150"/>
      <c r="S88" s="150"/>
      <c r="T88" s="150"/>
      <c r="U88" s="150"/>
    </row>
    <row r="89" spans="1:21">
      <c r="A89" s="150"/>
      <c r="B89" s="150"/>
      <c r="C89" s="150"/>
      <c r="D89" s="150"/>
      <c r="E89" s="150"/>
      <c r="F89" s="150"/>
      <c r="G89" s="150"/>
      <c r="H89" s="150"/>
      <c r="I89" s="150"/>
      <c r="J89" s="150"/>
      <c r="L89" s="150"/>
      <c r="M89" s="150"/>
      <c r="N89" s="150"/>
      <c r="O89" s="150"/>
      <c r="P89" s="150"/>
      <c r="Q89" s="150"/>
      <c r="R89" s="150"/>
      <c r="S89" s="150"/>
      <c r="T89" s="150"/>
      <c r="U89" s="150"/>
    </row>
    <row r="90" spans="1:21">
      <c r="A90" s="150"/>
      <c r="B90" s="150"/>
      <c r="C90" s="150"/>
      <c r="D90" s="150"/>
      <c r="E90" s="150"/>
      <c r="F90" s="150"/>
      <c r="G90" s="150"/>
      <c r="H90" s="150"/>
      <c r="I90" s="150"/>
      <c r="J90" s="150"/>
      <c r="L90" s="150"/>
      <c r="M90" s="150"/>
      <c r="N90" s="150"/>
      <c r="O90" s="150"/>
      <c r="P90" s="150"/>
      <c r="Q90" s="150"/>
      <c r="R90" s="150"/>
      <c r="S90" s="150"/>
      <c r="T90" s="150"/>
      <c r="U90" s="150"/>
    </row>
    <row r="91" spans="1:21">
      <c r="A91" s="150"/>
      <c r="B91" s="150"/>
      <c r="C91" s="150"/>
      <c r="D91" s="150"/>
      <c r="E91" s="150"/>
      <c r="F91" s="150"/>
      <c r="G91" s="150"/>
      <c r="H91" s="150"/>
      <c r="I91" s="150"/>
      <c r="J91" s="150"/>
      <c r="L91" s="150"/>
      <c r="M91" s="150"/>
      <c r="N91" s="150"/>
      <c r="O91" s="150"/>
      <c r="P91" s="150"/>
      <c r="Q91" s="150"/>
      <c r="R91" s="150"/>
      <c r="S91" s="150"/>
      <c r="T91" s="150"/>
      <c r="U91" s="150"/>
    </row>
    <row r="92" spans="1:21">
      <c r="A92" s="150"/>
      <c r="B92" s="150"/>
      <c r="C92" s="150"/>
      <c r="D92" s="150"/>
      <c r="E92" s="150"/>
      <c r="F92" s="150"/>
      <c r="G92" s="150"/>
      <c r="H92" s="150"/>
      <c r="I92" s="150"/>
      <c r="J92" s="150"/>
      <c r="L92" s="150"/>
      <c r="M92" s="150"/>
      <c r="N92" s="150"/>
      <c r="O92" s="150"/>
      <c r="P92" s="150"/>
      <c r="Q92" s="150"/>
      <c r="R92" s="150"/>
      <c r="S92" s="150"/>
      <c r="T92" s="150"/>
      <c r="U92" s="150"/>
    </row>
    <row r="93" spans="1:21">
      <c r="A93" s="150"/>
      <c r="B93" s="150"/>
      <c r="C93" s="150"/>
      <c r="D93" s="150"/>
      <c r="E93" s="150"/>
      <c r="F93" s="150"/>
      <c r="G93" s="150"/>
      <c r="H93" s="150"/>
      <c r="I93" s="150"/>
      <c r="J93" s="150"/>
      <c r="L93" s="150"/>
      <c r="M93" s="150"/>
      <c r="N93" s="150"/>
      <c r="O93" s="150"/>
      <c r="P93" s="150"/>
      <c r="Q93" s="150"/>
      <c r="R93" s="150"/>
      <c r="S93" s="150"/>
      <c r="T93" s="150"/>
      <c r="U93" s="150"/>
    </row>
    <row r="94" spans="1:21">
      <c r="A94" s="150"/>
      <c r="B94" s="150"/>
      <c r="C94" s="150"/>
      <c r="D94" s="150"/>
      <c r="E94" s="150"/>
      <c r="F94" s="150"/>
      <c r="G94" s="150"/>
      <c r="H94" s="150"/>
      <c r="I94" s="150"/>
      <c r="J94" s="150"/>
      <c r="L94" s="150"/>
      <c r="M94" s="150"/>
      <c r="N94" s="150"/>
      <c r="O94" s="150"/>
      <c r="P94" s="150"/>
      <c r="Q94" s="150"/>
      <c r="R94" s="150"/>
      <c r="S94" s="150"/>
      <c r="T94" s="150"/>
      <c r="U94" s="150"/>
    </row>
    <row r="95" spans="1:21">
      <c r="A95" s="150"/>
      <c r="B95" s="150"/>
      <c r="C95" s="150"/>
      <c r="D95" s="150"/>
      <c r="E95" s="150"/>
      <c r="F95" s="150"/>
      <c r="G95" s="150"/>
      <c r="H95" s="150"/>
      <c r="I95" s="150"/>
      <c r="J95" s="150"/>
      <c r="L95" s="150"/>
      <c r="M95" s="150"/>
      <c r="N95" s="150"/>
      <c r="O95" s="150"/>
      <c r="P95" s="150"/>
      <c r="Q95" s="150"/>
      <c r="R95" s="150"/>
      <c r="S95" s="150"/>
      <c r="T95" s="150"/>
      <c r="U95" s="150"/>
    </row>
    <row r="96" spans="1:21">
      <c r="A96" s="150"/>
      <c r="B96" s="150"/>
      <c r="C96" s="150"/>
      <c r="D96" s="150"/>
      <c r="E96" s="150"/>
      <c r="F96" s="150"/>
      <c r="G96" s="150"/>
      <c r="H96" s="150"/>
      <c r="I96" s="150"/>
      <c r="J96" s="150"/>
      <c r="L96" s="150"/>
      <c r="M96" s="150"/>
      <c r="N96" s="150"/>
      <c r="O96" s="150"/>
      <c r="P96" s="150"/>
      <c r="Q96" s="150"/>
      <c r="R96" s="150"/>
      <c r="S96" s="150"/>
      <c r="T96" s="150"/>
      <c r="U96" s="150"/>
    </row>
    <row r="97" spans="1:21">
      <c r="A97" s="150"/>
      <c r="B97" s="150"/>
      <c r="C97" s="150"/>
      <c r="D97" s="150"/>
      <c r="E97" s="150"/>
      <c r="F97" s="150"/>
      <c r="G97" s="150"/>
      <c r="H97" s="150"/>
      <c r="I97" s="150"/>
      <c r="J97" s="150"/>
      <c r="L97" s="150"/>
      <c r="M97" s="150"/>
      <c r="N97" s="150"/>
      <c r="O97" s="150"/>
      <c r="P97" s="150"/>
      <c r="Q97" s="150"/>
      <c r="R97" s="150"/>
      <c r="S97" s="150"/>
      <c r="T97" s="150"/>
      <c r="U97" s="150"/>
    </row>
    <row r="98" spans="1:21">
      <c r="A98" s="150"/>
      <c r="B98" s="150"/>
      <c r="C98" s="150"/>
      <c r="D98" s="150"/>
      <c r="E98" s="150"/>
      <c r="F98" s="150"/>
      <c r="G98" s="150"/>
      <c r="H98" s="150"/>
      <c r="I98" s="150"/>
      <c r="J98" s="150"/>
      <c r="L98" s="150"/>
      <c r="M98" s="150"/>
      <c r="N98" s="150"/>
      <c r="O98" s="150"/>
      <c r="P98" s="150"/>
      <c r="Q98" s="150"/>
      <c r="R98" s="150"/>
      <c r="S98" s="150"/>
      <c r="T98" s="150"/>
      <c r="U98" s="150"/>
    </row>
    <row r="99" spans="1:21">
      <c r="A99" s="150"/>
      <c r="B99" s="150"/>
      <c r="C99" s="150"/>
      <c r="D99" s="150"/>
      <c r="E99" s="150"/>
      <c r="F99" s="150"/>
      <c r="G99" s="150"/>
      <c r="H99" s="150"/>
      <c r="I99" s="150"/>
      <c r="J99" s="150"/>
      <c r="L99" s="150"/>
      <c r="M99" s="150"/>
      <c r="N99" s="150"/>
      <c r="O99" s="150"/>
      <c r="P99" s="150"/>
      <c r="Q99" s="150"/>
      <c r="R99" s="150"/>
      <c r="S99" s="150"/>
      <c r="T99" s="150"/>
      <c r="U99" s="150"/>
    </row>
    <row r="100" spans="1:21">
      <c r="A100" s="150"/>
      <c r="B100" s="150"/>
      <c r="C100" s="150"/>
      <c r="D100" s="150"/>
      <c r="E100" s="150"/>
      <c r="F100" s="150"/>
      <c r="G100" s="150"/>
      <c r="H100" s="150"/>
      <c r="I100" s="150"/>
      <c r="J100" s="150"/>
      <c r="L100" s="150"/>
      <c r="M100" s="150"/>
      <c r="N100" s="150"/>
      <c r="O100" s="150"/>
      <c r="P100" s="150"/>
      <c r="Q100" s="150"/>
      <c r="R100" s="150"/>
      <c r="S100" s="150"/>
      <c r="T100" s="150"/>
      <c r="U100" s="150"/>
    </row>
    <row r="101" spans="1:21">
      <c r="A101" s="150"/>
      <c r="B101" s="150"/>
      <c r="C101" s="150"/>
      <c r="D101" s="150"/>
      <c r="E101" s="150"/>
      <c r="F101" s="150"/>
      <c r="G101" s="150"/>
      <c r="H101" s="150"/>
      <c r="I101" s="150"/>
      <c r="J101" s="150"/>
      <c r="L101" s="150"/>
      <c r="M101" s="150"/>
      <c r="N101" s="150"/>
      <c r="O101" s="150"/>
      <c r="P101" s="150"/>
      <c r="Q101" s="150"/>
      <c r="R101" s="150"/>
      <c r="S101" s="150"/>
      <c r="T101" s="150"/>
      <c r="U101" s="150"/>
    </row>
    <row r="102" spans="1:21">
      <c r="A102" s="150"/>
      <c r="B102" s="150"/>
      <c r="C102" s="150"/>
      <c r="D102" s="150"/>
      <c r="E102" s="150"/>
      <c r="F102" s="150"/>
      <c r="G102" s="150"/>
      <c r="H102" s="150"/>
      <c r="I102" s="150"/>
      <c r="J102" s="150"/>
      <c r="L102" s="150"/>
      <c r="M102" s="150"/>
      <c r="N102" s="150"/>
      <c r="O102" s="150"/>
      <c r="P102" s="150"/>
      <c r="Q102" s="150"/>
      <c r="R102" s="150"/>
      <c r="S102" s="150"/>
      <c r="T102" s="150"/>
      <c r="U102" s="150"/>
    </row>
  </sheetData>
  <mergeCells count="8">
    <mergeCell ref="D32:J35"/>
    <mergeCell ref="B22:C22"/>
    <mergeCell ref="B24:C24"/>
    <mergeCell ref="D26:J27"/>
    <mergeCell ref="D29:J30"/>
    <mergeCell ref="B32:C35"/>
    <mergeCell ref="B29:C30"/>
    <mergeCell ref="B26:C27"/>
  </mergeCells>
  <pageMargins left="0.7" right="0.7" top="0.75" bottom="0.75" header="0.3" footer="0.3"/>
  <pageSetup scale="97" fitToHeight="0" orientation="portrait" r:id="rId1"/>
  <rowBreaks count="3" manualBreakCount="3">
    <brk id="36" min="11" max="20" man="1"/>
    <brk id="46" max="9" man="1"/>
    <brk id="83" min="11" max="2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5" tint="0.39997558519241921"/>
    <pageSetUpPr fitToPage="1"/>
  </sheetPr>
  <dimension ref="C1:BC170"/>
  <sheetViews>
    <sheetView zoomScaleNormal="100" workbookViewId="0">
      <selection activeCell="AK67" sqref="AK67:AL75"/>
    </sheetView>
  </sheetViews>
  <sheetFormatPr defaultRowHeight="14.25"/>
  <cols>
    <col min="1" max="2" width="2.125" customWidth="1"/>
    <col min="3" max="6" width="8" customWidth="1"/>
    <col min="7" max="9" width="7.875" customWidth="1"/>
    <col min="10" max="10" width="2.375" customWidth="1"/>
    <col min="11" max="11" width="8.625" customWidth="1"/>
    <col min="12" max="12" width="8.75" customWidth="1"/>
    <col min="13" max="13" width="9.25" customWidth="1"/>
    <col min="14" max="26" width="4.625" customWidth="1"/>
    <col min="27" max="27" width="20.625" bestFit="1" customWidth="1"/>
    <col min="28" max="35" width="16.75" customWidth="1"/>
    <col min="36" max="36" width="5.625" customWidth="1"/>
    <col min="37" max="40" width="16.75" customWidth="1"/>
    <col min="41" max="41" width="22.25" customWidth="1"/>
    <col min="44" max="44" width="12.125" customWidth="1"/>
  </cols>
  <sheetData>
    <row r="1" spans="3:51" ht="12.75" customHeight="1"/>
    <row r="2" spans="3:51" ht="12.75" customHeight="1"/>
    <row r="3" spans="3:51" ht="28.5" thickBot="1">
      <c r="C3" s="4" t="s">
        <v>2697</v>
      </c>
      <c r="D3" s="4"/>
      <c r="E3" s="4"/>
      <c r="F3" s="4"/>
      <c r="G3" s="4"/>
      <c r="H3" s="4"/>
      <c r="I3" s="4"/>
      <c r="J3" s="4"/>
      <c r="K3" s="4"/>
      <c r="L3" s="4"/>
      <c r="M3" s="4"/>
      <c r="AA3" s="4" t="s">
        <v>2745</v>
      </c>
      <c r="AB3" s="4"/>
      <c r="AC3" s="4"/>
      <c r="AD3" s="4"/>
      <c r="AE3" s="4"/>
      <c r="AF3" s="4"/>
      <c r="AG3" s="4"/>
      <c r="AH3" s="4"/>
      <c r="AI3" s="4"/>
      <c r="AJ3" s="4"/>
      <c r="AK3" s="4"/>
      <c r="AL3" s="4"/>
      <c r="AM3" s="4"/>
      <c r="AN3" s="4"/>
      <c r="AO3" s="14"/>
    </row>
    <row r="4" spans="3:51" ht="15" thickTop="1"/>
    <row r="5" spans="3:51" ht="18" customHeight="1">
      <c r="C5" s="303" t="str">
        <f>"Table 1. Racial composition of "&amp; City_label &amp; " and " &amp; County_label&amp; ", 2015 and 2020"</f>
        <v>Table 1. Racial composition of Entiat and Chelan County, 2015 and 2020</v>
      </c>
      <c r="D5" s="303"/>
      <c r="E5" s="303"/>
      <c r="F5" s="303"/>
      <c r="G5" s="303"/>
      <c r="H5" s="303"/>
      <c r="I5" s="303"/>
      <c r="J5" s="303"/>
      <c r="K5" s="303"/>
      <c r="L5" s="303"/>
      <c r="M5" s="303"/>
      <c r="AA5" s="16" t="s">
        <v>2702</v>
      </c>
      <c r="AB5" s="297" t="str">
        <f>City</f>
        <v>Entiat city, Washington</v>
      </c>
      <c r="AC5" s="297"/>
      <c r="AM5" s="32"/>
    </row>
    <row r="6" spans="3:51" ht="15.75">
      <c r="C6" s="303"/>
      <c r="D6" s="303"/>
      <c r="E6" s="303"/>
      <c r="F6" s="303"/>
      <c r="G6" s="303"/>
      <c r="H6" s="303"/>
      <c r="I6" s="303"/>
      <c r="J6" s="303"/>
      <c r="K6" s="303"/>
      <c r="L6" s="303"/>
      <c r="M6" s="303"/>
      <c r="AA6" s="16" t="s">
        <v>2703</v>
      </c>
      <c r="AB6" s="297" t="str">
        <f>County</f>
        <v>Chelan County, Washington</v>
      </c>
      <c r="AC6" s="297"/>
      <c r="AL6" s="32"/>
    </row>
    <row r="7" spans="3:51" ht="15" thickBot="1"/>
    <row r="8" spans="3:51">
      <c r="C8" s="64"/>
      <c r="D8" s="64"/>
      <c r="E8" s="64"/>
      <c r="F8" s="64"/>
      <c r="G8" s="65" t="str">
        <f>City_label</f>
        <v>Entiat</v>
      </c>
      <c r="H8" s="65"/>
      <c r="I8" s="64"/>
      <c r="J8" s="64"/>
      <c r="K8" s="65" t="str">
        <f>County_label</f>
        <v>Chelan County</v>
      </c>
      <c r="L8" s="65"/>
      <c r="M8" s="65"/>
    </row>
    <row r="9" spans="3:51">
      <c r="C9" s="66" t="s">
        <v>2704</v>
      </c>
      <c r="D9" s="66"/>
      <c r="E9" s="66"/>
      <c r="F9" s="66"/>
      <c r="G9" s="67">
        <v>2015</v>
      </c>
      <c r="H9" s="67">
        <v>2020</v>
      </c>
      <c r="I9" s="67" t="s">
        <v>2683</v>
      </c>
      <c r="J9" s="68"/>
      <c r="K9" s="67">
        <v>2015</v>
      </c>
      <c r="L9" s="67">
        <v>2020</v>
      </c>
      <c r="M9" s="67" t="s">
        <v>2683</v>
      </c>
    </row>
    <row r="10" spans="3:51" ht="15">
      <c r="C10" s="29" t="str">
        <f>AC15</f>
        <v>American Indian and Alaska Native</v>
      </c>
      <c r="D10" s="29"/>
      <c r="E10" s="29"/>
      <c r="F10" s="29"/>
      <c r="G10" s="69">
        <f>AE15</f>
        <v>18</v>
      </c>
      <c r="H10" s="69">
        <f>AF15</f>
        <v>8</v>
      </c>
      <c r="I10" s="69">
        <f t="shared" ref="I10:I17" si="0">H10-G10</f>
        <v>-10</v>
      </c>
      <c r="J10" s="29"/>
      <c r="K10" s="69">
        <f>AK15</f>
        <v>699</v>
      </c>
      <c r="L10" s="69">
        <f>AL15</f>
        <v>330</v>
      </c>
      <c r="M10" s="69">
        <f t="shared" ref="M10:M17" si="1">L10-K10</f>
        <v>-369</v>
      </c>
      <c r="AE10" s="36" t="str">
        <f>City_label</f>
        <v>Entiat</v>
      </c>
      <c r="AF10" s="36" t="str">
        <f>City_label</f>
        <v>Entiat</v>
      </c>
      <c r="AG10" s="36" t="str">
        <f>City_label</f>
        <v>Entiat</v>
      </c>
      <c r="AH10" s="36" t="str">
        <f>City_label</f>
        <v>Entiat</v>
      </c>
      <c r="AI10" s="36" t="str">
        <f>City_label</f>
        <v>Entiat</v>
      </c>
      <c r="AK10" s="36" t="str">
        <f>County_label</f>
        <v>Chelan County</v>
      </c>
      <c r="AL10" s="36" t="str">
        <f>County_label</f>
        <v>Chelan County</v>
      </c>
      <c r="AM10" s="36" t="str">
        <f>County_label</f>
        <v>Chelan County</v>
      </c>
      <c r="AN10" s="36" t="str">
        <f>County_label</f>
        <v>Chelan County</v>
      </c>
      <c r="AP10" s="36"/>
    </row>
    <row r="11" spans="3:51" ht="15">
      <c r="C11" s="29" t="str">
        <f>AC16</f>
        <v>Asian</v>
      </c>
      <c r="D11" s="29"/>
      <c r="E11" s="29"/>
      <c r="F11" s="29"/>
      <c r="G11" s="69">
        <f>AE16</f>
        <v>0</v>
      </c>
      <c r="H11" s="69">
        <f>AF16</f>
        <v>30</v>
      </c>
      <c r="I11" s="69">
        <f t="shared" si="0"/>
        <v>30</v>
      </c>
      <c r="J11" s="29"/>
      <c r="K11" s="69">
        <f>AK16</f>
        <v>591</v>
      </c>
      <c r="L11" s="69">
        <f>AL16</f>
        <v>624</v>
      </c>
      <c r="M11" s="69">
        <f t="shared" si="1"/>
        <v>33</v>
      </c>
      <c r="AE11" s="36">
        <v>2015</v>
      </c>
      <c r="AF11" s="36">
        <v>2020</v>
      </c>
      <c r="AG11" s="36">
        <v>2015</v>
      </c>
      <c r="AH11" s="36">
        <v>2020</v>
      </c>
      <c r="AI11" s="36">
        <v>2020</v>
      </c>
      <c r="AJ11" s="36"/>
      <c r="AK11" s="36">
        <v>2015</v>
      </c>
      <c r="AL11" s="36">
        <v>2020</v>
      </c>
      <c r="AM11" s="36">
        <v>2015</v>
      </c>
      <c r="AN11" s="36">
        <v>2020</v>
      </c>
      <c r="AP11" s="32"/>
      <c r="AY11" s="32"/>
    </row>
    <row r="12" spans="3:51" ht="15">
      <c r="C12" s="29" t="str">
        <f>AC14</f>
        <v>Black or African American</v>
      </c>
      <c r="D12" s="29"/>
      <c r="E12" s="29"/>
      <c r="F12" s="29"/>
      <c r="G12" s="69">
        <f>AE14</f>
        <v>0</v>
      </c>
      <c r="H12" s="69">
        <f>AF14</f>
        <v>0</v>
      </c>
      <c r="I12" s="69">
        <f t="shared" si="0"/>
        <v>0</v>
      </c>
      <c r="J12" s="29"/>
      <c r="K12" s="69">
        <f>AK14</f>
        <v>340</v>
      </c>
      <c r="L12" s="69">
        <f>AL14</f>
        <v>247</v>
      </c>
      <c r="M12" s="69">
        <f t="shared" si="1"/>
        <v>-93</v>
      </c>
      <c r="AA12" s="36">
        <v>2015</v>
      </c>
      <c r="AB12" s="36">
        <v>2020</v>
      </c>
      <c r="AC12" s="16" t="s">
        <v>2705</v>
      </c>
      <c r="AE12" s="36" t="s">
        <v>1895</v>
      </c>
      <c r="AF12" s="36" t="s">
        <v>1895</v>
      </c>
      <c r="AG12" s="36" t="s">
        <v>1896</v>
      </c>
      <c r="AH12" s="36" t="s">
        <v>1896</v>
      </c>
      <c r="AI12" s="47" t="s">
        <v>2670</v>
      </c>
      <c r="AJ12" s="47"/>
      <c r="AK12" s="36" t="s">
        <v>1895</v>
      </c>
      <c r="AL12" s="36" t="s">
        <v>1895</v>
      </c>
      <c r="AM12" s="36" t="s">
        <v>1896</v>
      </c>
      <c r="AN12" s="36" t="s">
        <v>1896</v>
      </c>
      <c r="AP12" s="36"/>
      <c r="AU12" s="32"/>
      <c r="AV12" s="32"/>
      <c r="AX12" s="32"/>
    </row>
    <row r="13" spans="3:51">
      <c r="C13" s="29" t="str">
        <f>AC20</f>
        <v>Hispanic or Latino (of any race)</v>
      </c>
      <c r="D13" s="29"/>
      <c r="E13" s="29"/>
      <c r="F13" s="29"/>
      <c r="G13" s="69">
        <f>AE20</f>
        <v>219</v>
      </c>
      <c r="H13" s="69">
        <f>AF20</f>
        <v>242</v>
      </c>
      <c r="I13" s="69">
        <f t="shared" si="0"/>
        <v>23</v>
      </c>
      <c r="J13" s="29"/>
      <c r="K13" s="69">
        <f>AK20</f>
        <v>20199</v>
      </c>
      <c r="L13" s="69">
        <f>AL20</f>
        <v>21531</v>
      </c>
      <c r="M13" s="69">
        <f t="shared" si="1"/>
        <v>1332</v>
      </c>
      <c r="AA13" s="112" t="s">
        <v>2493</v>
      </c>
      <c r="AB13" s="112" t="s">
        <v>2483</v>
      </c>
      <c r="AC13" t="s">
        <v>2672</v>
      </c>
      <c r="AE13" s="1">
        <v>927</v>
      </c>
      <c r="AF13" s="1">
        <v>603</v>
      </c>
      <c r="AG13" s="6">
        <f t="shared" ref="AG13:AH20" si="2">AE13/AE$21</f>
        <v>0.77899159663865547</v>
      </c>
      <c r="AH13" s="6">
        <f t="shared" si="2"/>
        <v>0.61846153846153851</v>
      </c>
      <c r="AI13" t="str">
        <f t="shared" ref="AI13:AI20" si="3">TEXT(AF13,"#,##0")&amp;CHAR(10)&amp;"("&amp;TEXT(AH13,"0%"&amp;")")</f>
        <v>603
(62%)</v>
      </c>
      <c r="AK13" s="1">
        <v>51217</v>
      </c>
      <c r="AL13" s="1">
        <v>51761</v>
      </c>
      <c r="AM13" s="6">
        <f t="shared" ref="AM13:AM20" si="4">AK13/$AK$21</f>
        <v>0.68963334994008108</v>
      </c>
      <c r="AN13" s="6">
        <f t="shared" ref="AN13:AN20" si="5">AL13/AL$21</f>
        <v>0.67526385138220291</v>
      </c>
      <c r="AP13" s="6"/>
      <c r="AU13" s="38"/>
      <c r="AV13" s="38"/>
      <c r="AX13" s="6"/>
      <c r="AY13" s="6"/>
    </row>
    <row r="14" spans="3:51">
      <c r="C14" s="29" t="str">
        <f>AC17</f>
        <v>Native Hawaiian and Other Pacific Islander</v>
      </c>
      <c r="D14" s="29"/>
      <c r="E14" s="29"/>
      <c r="F14" s="29"/>
      <c r="G14" s="69">
        <f t="shared" ref="G14:H16" si="6">AE17</f>
        <v>2</v>
      </c>
      <c r="H14" s="69">
        <f t="shared" si="6"/>
        <v>11</v>
      </c>
      <c r="I14" s="69">
        <f t="shared" si="0"/>
        <v>9</v>
      </c>
      <c r="J14" s="29"/>
      <c r="K14" s="69">
        <f t="shared" ref="K14:L16" si="7">AK17</f>
        <v>60</v>
      </c>
      <c r="L14" s="69">
        <f t="shared" si="7"/>
        <v>32</v>
      </c>
      <c r="M14" s="69">
        <f t="shared" si="1"/>
        <v>-28</v>
      </c>
      <c r="AA14" s="112" t="s">
        <v>2491</v>
      </c>
      <c r="AB14" s="112" t="s">
        <v>2481</v>
      </c>
      <c r="AC14" t="s">
        <v>2673</v>
      </c>
      <c r="AE14" s="1">
        <v>0</v>
      </c>
      <c r="AF14" s="1">
        <v>0</v>
      </c>
      <c r="AG14" s="6">
        <f t="shared" si="2"/>
        <v>0</v>
      </c>
      <c r="AH14" s="6">
        <f t="shared" si="2"/>
        <v>0</v>
      </c>
      <c r="AI14" t="str">
        <f t="shared" si="3"/>
        <v>0
(0%)</v>
      </c>
      <c r="AK14" s="1">
        <v>340</v>
      </c>
      <c r="AL14" s="1">
        <v>247</v>
      </c>
      <c r="AM14" s="6">
        <f t="shared" si="4"/>
        <v>4.5780764000161577E-3</v>
      </c>
      <c r="AN14" s="6">
        <f t="shared" si="5"/>
        <v>3.2223135428489425E-3</v>
      </c>
      <c r="AP14" s="6"/>
      <c r="AU14" s="38"/>
      <c r="AV14" s="38"/>
      <c r="AX14" s="6"/>
      <c r="AY14" s="6"/>
    </row>
    <row r="15" spans="3:51">
      <c r="C15" s="29" t="str">
        <f>AC18</f>
        <v>Other Race</v>
      </c>
      <c r="D15" s="29"/>
      <c r="E15" s="29"/>
      <c r="F15" s="29"/>
      <c r="G15" s="69">
        <f t="shared" si="6"/>
        <v>0</v>
      </c>
      <c r="H15" s="69">
        <f t="shared" si="6"/>
        <v>0</v>
      </c>
      <c r="I15" s="69">
        <f t="shared" si="0"/>
        <v>0</v>
      </c>
      <c r="J15" s="29"/>
      <c r="K15" s="69">
        <f t="shared" si="7"/>
        <v>13</v>
      </c>
      <c r="L15" s="69">
        <f t="shared" si="7"/>
        <v>90</v>
      </c>
      <c r="M15" s="69">
        <f t="shared" si="1"/>
        <v>77</v>
      </c>
      <c r="AA15" s="112" t="s">
        <v>2489</v>
      </c>
      <c r="AB15" s="112" t="s">
        <v>2479</v>
      </c>
      <c r="AC15" t="s">
        <v>2674</v>
      </c>
      <c r="AE15" s="1">
        <v>18</v>
      </c>
      <c r="AF15" s="1">
        <v>8</v>
      </c>
      <c r="AG15" s="6">
        <f t="shared" si="2"/>
        <v>1.5126050420168067E-2</v>
      </c>
      <c r="AH15" s="6">
        <f t="shared" si="2"/>
        <v>8.2051282051282051E-3</v>
      </c>
      <c r="AI15" t="str">
        <f t="shared" si="3"/>
        <v>8
(1%)</v>
      </c>
      <c r="AK15" s="1">
        <v>699</v>
      </c>
      <c r="AL15" s="1">
        <v>330</v>
      </c>
      <c r="AM15" s="6">
        <f t="shared" si="4"/>
        <v>9.4119864812096891E-3</v>
      </c>
      <c r="AN15" s="6">
        <f t="shared" si="5"/>
        <v>4.3051152596767246E-3</v>
      </c>
      <c r="AP15" s="6"/>
      <c r="AU15" s="38"/>
      <c r="AV15" s="38"/>
      <c r="AX15" s="6"/>
      <c r="AY15" s="6"/>
    </row>
    <row r="16" spans="3:51">
      <c r="C16" s="29" t="str">
        <f>AC19</f>
        <v>Two or more races</v>
      </c>
      <c r="D16" s="29"/>
      <c r="E16" s="29"/>
      <c r="F16" s="29"/>
      <c r="G16" s="69">
        <f t="shared" si="6"/>
        <v>24</v>
      </c>
      <c r="H16" s="69">
        <f t="shared" si="6"/>
        <v>81</v>
      </c>
      <c r="I16" s="69">
        <f t="shared" si="0"/>
        <v>57</v>
      </c>
      <c r="J16" s="29"/>
      <c r="K16" s="69">
        <f t="shared" si="7"/>
        <v>1148</v>
      </c>
      <c r="L16" s="69">
        <f t="shared" si="7"/>
        <v>2038</v>
      </c>
      <c r="M16" s="69">
        <f t="shared" si="1"/>
        <v>890</v>
      </c>
      <c r="AA16" s="112" t="s">
        <v>2487</v>
      </c>
      <c r="AB16" s="112" t="s">
        <v>2477</v>
      </c>
      <c r="AC16" t="s">
        <v>2666</v>
      </c>
      <c r="AE16" s="1">
        <v>0</v>
      </c>
      <c r="AF16" s="1">
        <v>30</v>
      </c>
      <c r="AG16" s="6">
        <f t="shared" si="2"/>
        <v>0</v>
      </c>
      <c r="AH16" s="6">
        <f t="shared" si="2"/>
        <v>3.0769230769230771E-2</v>
      </c>
      <c r="AI16" t="str">
        <f t="shared" si="3"/>
        <v>30
(3%)</v>
      </c>
      <c r="AK16" s="1">
        <v>591</v>
      </c>
      <c r="AL16" s="1">
        <v>624</v>
      </c>
      <c r="AM16" s="6">
        <f t="shared" si="4"/>
        <v>7.9577739776751453E-3</v>
      </c>
      <c r="AN16" s="6">
        <f t="shared" si="5"/>
        <v>8.1405815819341702E-3</v>
      </c>
      <c r="AP16" s="6"/>
      <c r="AU16" s="38"/>
      <c r="AV16" s="38"/>
      <c r="AX16" s="6"/>
      <c r="AY16" s="6"/>
    </row>
    <row r="17" spans="3:51">
      <c r="C17" s="29" t="str">
        <f>AC13</f>
        <v>White</v>
      </c>
      <c r="D17" s="29"/>
      <c r="E17" s="29"/>
      <c r="F17" s="29"/>
      <c r="G17" s="69">
        <f>AE13</f>
        <v>927</v>
      </c>
      <c r="H17" s="69">
        <f>AF13</f>
        <v>603</v>
      </c>
      <c r="I17" s="69">
        <f t="shared" si="0"/>
        <v>-324</v>
      </c>
      <c r="J17" s="29"/>
      <c r="K17" s="69">
        <f>AK13</f>
        <v>51217</v>
      </c>
      <c r="L17" s="69">
        <f>AL13</f>
        <v>51761</v>
      </c>
      <c r="M17" s="69">
        <f t="shared" si="1"/>
        <v>544</v>
      </c>
      <c r="AA17" s="112" t="s">
        <v>2485</v>
      </c>
      <c r="AB17" s="112" t="s">
        <v>2475</v>
      </c>
      <c r="AC17" t="s">
        <v>2675</v>
      </c>
      <c r="AE17" s="1">
        <v>2</v>
      </c>
      <c r="AF17" s="1">
        <v>11</v>
      </c>
      <c r="AG17" s="6">
        <f t="shared" si="2"/>
        <v>1.6806722689075631E-3</v>
      </c>
      <c r="AH17" s="6">
        <f t="shared" si="2"/>
        <v>1.1282051282051283E-2</v>
      </c>
      <c r="AI17" t="str">
        <f t="shared" si="3"/>
        <v>11
(1%)</v>
      </c>
      <c r="AK17" s="1">
        <v>60</v>
      </c>
      <c r="AL17" s="1">
        <v>32</v>
      </c>
      <c r="AM17" s="6">
        <f t="shared" si="4"/>
        <v>8.0789583529696906E-4</v>
      </c>
      <c r="AN17" s="6">
        <f t="shared" si="5"/>
        <v>4.1746572215047028E-4</v>
      </c>
      <c r="AP17" s="6"/>
      <c r="AU17" s="38"/>
      <c r="AV17" s="38"/>
      <c r="AX17" s="6"/>
      <c r="AY17" s="6"/>
    </row>
    <row r="18" spans="3:51">
      <c r="C18" s="66"/>
      <c r="D18" s="66"/>
      <c r="E18" s="66"/>
      <c r="F18" s="66" t="s">
        <v>1</v>
      </c>
      <c r="G18" s="72">
        <f>SUM(G10:G17)</f>
        <v>1190</v>
      </c>
      <c r="H18" s="72">
        <f>SUM(H10:H17)</f>
        <v>975</v>
      </c>
      <c r="I18" s="72">
        <f>SUM(I10:I17)</f>
        <v>-215</v>
      </c>
      <c r="J18" s="70"/>
      <c r="K18" s="72">
        <f>SUM(K10:K17)</f>
        <v>74267</v>
      </c>
      <c r="L18" s="72">
        <f t="shared" ref="L18:M18" si="8">SUM(L10:L17)</f>
        <v>76653</v>
      </c>
      <c r="M18" s="72">
        <f t="shared" si="8"/>
        <v>2386</v>
      </c>
      <c r="AA18" s="112" t="s">
        <v>2483</v>
      </c>
      <c r="AB18" s="112" t="s">
        <v>2473</v>
      </c>
      <c r="AC18" t="s">
        <v>2706</v>
      </c>
      <c r="AE18" s="1">
        <v>0</v>
      </c>
      <c r="AF18" s="1">
        <v>0</v>
      </c>
      <c r="AG18" s="6">
        <f t="shared" si="2"/>
        <v>0</v>
      </c>
      <c r="AH18" s="6">
        <f t="shared" si="2"/>
        <v>0</v>
      </c>
      <c r="AI18" t="str">
        <f t="shared" si="3"/>
        <v>0
(0%)</v>
      </c>
      <c r="AK18" s="1">
        <v>13</v>
      </c>
      <c r="AL18" s="1">
        <v>90</v>
      </c>
      <c r="AM18" s="6">
        <f t="shared" si="4"/>
        <v>1.7504409764767663E-4</v>
      </c>
      <c r="AN18" s="6">
        <f t="shared" si="5"/>
        <v>1.1741223435481978E-3</v>
      </c>
      <c r="AP18" s="6"/>
      <c r="AU18" s="38"/>
      <c r="AV18" s="38"/>
      <c r="AX18" s="6"/>
      <c r="AY18" s="6"/>
    </row>
    <row r="19" spans="3:51">
      <c r="C19" s="301" t="s">
        <v>2712</v>
      </c>
      <c r="D19" s="301"/>
      <c r="E19" s="301"/>
      <c r="F19" s="301"/>
      <c r="G19" s="301"/>
      <c r="H19" s="301"/>
      <c r="I19" s="301"/>
      <c r="J19" s="301"/>
      <c r="K19" s="301"/>
      <c r="L19" s="301"/>
      <c r="M19" s="301"/>
      <c r="AA19" s="112" t="s">
        <v>2481</v>
      </c>
      <c r="AB19" s="112" t="s">
        <v>2471</v>
      </c>
      <c r="AC19" t="s">
        <v>2665</v>
      </c>
      <c r="AE19" s="1">
        <v>24</v>
      </c>
      <c r="AF19" s="1">
        <v>81</v>
      </c>
      <c r="AG19" s="6">
        <f t="shared" si="2"/>
        <v>2.0168067226890758E-2</v>
      </c>
      <c r="AH19" s="6">
        <f t="shared" si="2"/>
        <v>8.3076923076923076E-2</v>
      </c>
      <c r="AI19" t="str">
        <f t="shared" si="3"/>
        <v>81
(8%)</v>
      </c>
      <c r="AK19" s="1">
        <v>1148</v>
      </c>
      <c r="AL19" s="1">
        <v>2038</v>
      </c>
      <c r="AM19" s="6">
        <f t="shared" si="4"/>
        <v>1.5457740315348674E-2</v>
      </c>
      <c r="AN19" s="6">
        <f t="shared" si="5"/>
        <v>2.6587348179458077E-2</v>
      </c>
      <c r="AP19" s="6"/>
      <c r="AU19" s="38"/>
      <c r="AV19" s="38"/>
      <c r="AX19" s="6"/>
      <c r="AY19" s="6"/>
    </row>
    <row r="20" spans="3:51" ht="14.25" customHeight="1">
      <c r="C20" s="302"/>
      <c r="D20" s="302"/>
      <c r="E20" s="302"/>
      <c r="F20" s="302"/>
      <c r="G20" s="302"/>
      <c r="H20" s="302"/>
      <c r="I20" s="302"/>
      <c r="J20" s="302"/>
      <c r="K20" s="302"/>
      <c r="L20" s="302"/>
      <c r="M20" s="302"/>
      <c r="AA20" s="112" t="s">
        <v>2497</v>
      </c>
      <c r="AB20" s="112" t="s">
        <v>2495</v>
      </c>
      <c r="AC20" t="s">
        <v>2790</v>
      </c>
      <c r="AE20" s="1">
        <v>219</v>
      </c>
      <c r="AF20" s="1">
        <v>242</v>
      </c>
      <c r="AG20" s="6">
        <f t="shared" si="2"/>
        <v>0.18403361344537816</v>
      </c>
      <c r="AH20" s="6">
        <f t="shared" si="2"/>
        <v>0.24820512820512822</v>
      </c>
      <c r="AI20" t="str">
        <f t="shared" si="3"/>
        <v>242
(25%)</v>
      </c>
      <c r="AK20" s="1">
        <v>20199</v>
      </c>
      <c r="AL20" s="1">
        <v>21531</v>
      </c>
      <c r="AM20" s="6">
        <f t="shared" si="4"/>
        <v>0.2719781329527246</v>
      </c>
      <c r="AN20" s="6">
        <f t="shared" si="5"/>
        <v>0.28088920198818051</v>
      </c>
      <c r="AP20" s="6"/>
      <c r="AU20" s="38"/>
      <c r="AV20" s="38"/>
      <c r="AX20" s="6"/>
      <c r="AY20" s="6"/>
    </row>
    <row r="21" spans="3:51" ht="15" customHeight="1">
      <c r="C21" s="46"/>
      <c r="D21" s="46"/>
      <c r="E21" s="46"/>
      <c r="F21" s="46"/>
      <c r="G21" s="46"/>
      <c r="H21" s="46"/>
      <c r="I21" s="46"/>
      <c r="J21" s="46"/>
      <c r="K21" s="46"/>
      <c r="L21" s="46"/>
      <c r="M21" s="46"/>
      <c r="AA21" s="112" t="s">
        <v>2501</v>
      </c>
      <c r="AB21" s="112" t="s">
        <v>2499</v>
      </c>
      <c r="AC21" s="16" t="s">
        <v>2667</v>
      </c>
      <c r="AE21" s="3">
        <v>1190</v>
      </c>
      <c r="AF21" s="3">
        <v>975</v>
      </c>
      <c r="AK21" s="2">
        <v>74267</v>
      </c>
      <c r="AL21" s="2">
        <v>76653</v>
      </c>
    </row>
    <row r="22" spans="3:51" ht="14.25" customHeight="1">
      <c r="C22" s="46"/>
      <c r="D22" s="46"/>
      <c r="E22" s="46"/>
      <c r="F22" s="46"/>
      <c r="G22" s="46"/>
      <c r="H22" s="46"/>
      <c r="I22" s="46"/>
      <c r="J22" s="46"/>
      <c r="K22" s="46"/>
      <c r="L22" s="300" t="str">
        <f>"Based on a Coefficient of Variation of "&amp;TEXT(Inputs!C17, "0%")&amp;" alternative charts are:"</f>
        <v>Based on a Coefficient of Variation of 30% alternative charts are:</v>
      </c>
      <c r="M22" s="300"/>
      <c r="AE22" s="1"/>
      <c r="AF22" s="1"/>
      <c r="AG22" s="6"/>
      <c r="AH22" s="6"/>
      <c r="AK22" s="1"/>
      <c r="AL22" s="1"/>
      <c r="AM22" s="6"/>
      <c r="AN22" s="6"/>
    </row>
    <row r="23" spans="3:51" ht="15" customHeight="1">
      <c r="C23" s="46"/>
      <c r="D23" s="46"/>
      <c r="E23" s="46"/>
      <c r="F23" s="46"/>
      <c r="G23" s="46"/>
      <c r="H23" s="46"/>
      <c r="I23" s="46"/>
      <c r="J23" s="46"/>
      <c r="K23" s="46"/>
      <c r="L23" s="300"/>
      <c r="M23" s="300"/>
    </row>
    <row r="24" spans="3:51" ht="15">
      <c r="C24" s="50"/>
      <c r="D24" s="50"/>
      <c r="E24" s="50"/>
      <c r="F24" s="50"/>
      <c r="G24" s="50"/>
      <c r="H24" s="50"/>
      <c r="I24" s="50"/>
      <c r="J24" s="50"/>
      <c r="K24" s="50"/>
      <c r="L24" s="300"/>
      <c r="M24" s="300"/>
      <c r="AF24" s="47" t="str">
        <f>City_label</f>
        <v>Entiat</v>
      </c>
      <c r="AH24" s="16" t="str">
        <f>City_label</f>
        <v>Entiat</v>
      </c>
      <c r="AK24" s="298" t="str">
        <f>County_label</f>
        <v>Chelan County</v>
      </c>
      <c r="AL24" s="298"/>
      <c r="AM24" s="298" t="str">
        <f>County_label</f>
        <v>Chelan County</v>
      </c>
      <c r="AN24" s="298"/>
    </row>
    <row r="25" spans="3:51" ht="15">
      <c r="C25" s="50"/>
      <c r="D25" s="50"/>
      <c r="E25" s="50"/>
      <c r="F25" s="50"/>
      <c r="G25" s="50"/>
      <c r="H25" s="50"/>
      <c r="I25" s="50"/>
      <c r="J25" s="50"/>
      <c r="K25" s="50"/>
      <c r="L25" s="300"/>
      <c r="M25" s="300"/>
      <c r="AE25" s="16">
        <v>2015</v>
      </c>
      <c r="AF25" s="16">
        <v>2020</v>
      </c>
      <c r="AG25" s="16">
        <v>2015</v>
      </c>
      <c r="AH25" s="16">
        <v>2020</v>
      </c>
      <c r="AK25" s="16">
        <v>2015</v>
      </c>
      <c r="AL25" s="16">
        <v>2020</v>
      </c>
      <c r="AM25" s="16">
        <v>2015</v>
      </c>
      <c r="AN25" s="16">
        <v>2020</v>
      </c>
    </row>
    <row r="26" spans="3:51" ht="14.25" customHeight="1">
      <c r="C26" s="50"/>
      <c r="D26" s="50"/>
      <c r="E26" s="50"/>
      <c r="F26" s="50"/>
      <c r="G26" s="50"/>
      <c r="H26" s="50"/>
      <c r="I26" s="50"/>
      <c r="J26" s="50"/>
      <c r="K26" s="50"/>
      <c r="L26" s="300"/>
      <c r="M26" s="300"/>
      <c r="AC26" t="s">
        <v>2666</v>
      </c>
      <c r="AE26" s="5">
        <f>AE16</f>
        <v>0</v>
      </c>
      <c r="AF26" s="5">
        <f>AF16</f>
        <v>30</v>
      </c>
      <c r="AG26" s="6">
        <f>AE26/$AE$31</f>
        <v>0</v>
      </c>
      <c r="AH26" s="6">
        <f>AF26/$AF$31</f>
        <v>3.0769230769230771E-2</v>
      </c>
      <c r="AI26" t="str">
        <f>TEXT(AF26,"#,##0")&amp;CHAR(10)&amp;"("&amp;TEXT(AH26,"0%"&amp;")")</f>
        <v>30
(3%)</v>
      </c>
      <c r="AK26" s="5">
        <f>AK16</f>
        <v>591</v>
      </c>
      <c r="AL26" s="5">
        <f>AL16</f>
        <v>624</v>
      </c>
      <c r="AM26" s="6">
        <f>AK26/$AK$31</f>
        <v>7.9577739776751453E-3</v>
      </c>
      <c r="AN26" s="6">
        <f>AL26/$AL$31</f>
        <v>8.1405815819341702E-3</v>
      </c>
    </row>
    <row r="27" spans="3:51" ht="20.25" customHeight="1">
      <c r="C27" s="50"/>
      <c r="D27" s="50"/>
      <c r="E27" s="50"/>
      <c r="F27" s="50"/>
      <c r="G27" s="50"/>
      <c r="H27" s="50"/>
      <c r="I27" s="50"/>
      <c r="J27" s="50"/>
      <c r="K27" s="50"/>
      <c r="L27" s="299" t="str">
        <f>IF(SUM(AH50,AH65,AN50,AN65)&gt;0, "Recommended", "Optional")</f>
        <v>Recommended</v>
      </c>
      <c r="M27" s="299"/>
      <c r="AC27" t="s">
        <v>2673</v>
      </c>
      <c r="AE27" s="5">
        <f>AE14</f>
        <v>0</v>
      </c>
      <c r="AF27" s="5">
        <f>AF14</f>
        <v>0</v>
      </c>
      <c r="AG27" s="6">
        <f>AE27/$AE$31</f>
        <v>0</v>
      </c>
      <c r="AH27" s="6">
        <f>AF27/$AF$31</f>
        <v>0</v>
      </c>
      <c r="AI27" t="str">
        <f>TEXT(AF27,"#,##0")&amp;CHAR(10)&amp;"("&amp;TEXT(AH27,"0%"&amp;")")</f>
        <v>0
(0%)</v>
      </c>
      <c r="AK27" s="5">
        <f>AK14</f>
        <v>340</v>
      </c>
      <c r="AL27" s="5">
        <f>AL14</f>
        <v>247</v>
      </c>
      <c r="AM27" s="6">
        <f>AK27/$AK$31</f>
        <v>4.5780764000161577E-3</v>
      </c>
      <c r="AN27" s="6">
        <f>AL27/$AL$31</f>
        <v>3.2223135428489425E-3</v>
      </c>
    </row>
    <row r="28" spans="3:51">
      <c r="C28" s="50"/>
      <c r="D28" s="50"/>
      <c r="E28" s="50"/>
      <c r="F28" s="50"/>
      <c r="G28" s="50"/>
      <c r="H28" s="50"/>
      <c r="I28" s="50"/>
      <c r="J28" s="50"/>
      <c r="K28" s="50"/>
      <c r="AC28" t="s">
        <v>2790</v>
      </c>
      <c r="AE28" s="5">
        <f>AE20</f>
        <v>219</v>
      </c>
      <c r="AF28" s="5">
        <f>AF20</f>
        <v>242</v>
      </c>
      <c r="AG28" s="6">
        <f>AE28/$AE$31</f>
        <v>0.18403361344537816</v>
      </c>
      <c r="AH28" s="6">
        <f>AF28/$AF$31</f>
        <v>0.24820512820512822</v>
      </c>
      <c r="AI28" t="str">
        <f>TEXT(AF28,"#,##0")&amp;CHAR(10)&amp;"("&amp;TEXT(AH28,"0%"&amp;")")</f>
        <v>242
(25%)</v>
      </c>
      <c r="AK28" s="5">
        <f>AK20</f>
        <v>20199</v>
      </c>
      <c r="AL28" s="5">
        <f>AL20</f>
        <v>21531</v>
      </c>
      <c r="AM28" s="6">
        <f>AK28/$AK$31</f>
        <v>0.2719781329527246</v>
      </c>
      <c r="AN28" s="6">
        <f>AL28/$AL$31</f>
        <v>0.28088920198818051</v>
      </c>
    </row>
    <row r="29" spans="3:51" ht="18" customHeight="1">
      <c r="C29" s="303" t="str">
        <f>"Chart 1. "&amp; City_label &amp; " population by race and Hispanic or Latino ethnicity, 2020"</f>
        <v>Chart 1. Entiat population by race and Hispanic or Latino ethnicity, 2020</v>
      </c>
      <c r="D29" s="303"/>
      <c r="E29" s="303"/>
      <c r="F29" s="303"/>
      <c r="G29" s="303"/>
      <c r="H29" s="303"/>
      <c r="I29" s="303"/>
      <c r="J29" s="303"/>
      <c r="K29" s="303"/>
      <c r="L29" s="303"/>
      <c r="M29" s="303"/>
      <c r="AC29" t="s">
        <v>2706</v>
      </c>
      <c r="AE29" s="5">
        <f>SUM(AE15,AE17,AE18,AE19)</f>
        <v>44</v>
      </c>
      <c r="AF29" s="5">
        <f>SUM(AF15,AF17,AF18,AF19)</f>
        <v>100</v>
      </c>
      <c r="AG29" s="6">
        <f>AE29/$AE$31</f>
        <v>3.6974789915966387E-2</v>
      </c>
      <c r="AH29" s="6">
        <f>AF29/$AF$31</f>
        <v>0.10256410256410256</v>
      </c>
      <c r="AI29" t="str">
        <f>TEXT(AF29,"#,##0")&amp;CHAR(10)&amp;"("&amp;TEXT(AH29,"0%"&amp;")")</f>
        <v>100
(10%)</v>
      </c>
      <c r="AK29" s="5">
        <f>SUM(AK15,AK17,AK18,AK19)</f>
        <v>1920</v>
      </c>
      <c r="AL29" s="5">
        <f>SUM(AL15,AL17,AL18,AL19)</f>
        <v>2490</v>
      </c>
      <c r="AM29" s="6">
        <f>AK29/$AK$31</f>
        <v>2.585266672950301E-2</v>
      </c>
      <c r="AN29" s="6">
        <f>AL29/$AL$31</f>
        <v>3.2484051504833474E-2</v>
      </c>
    </row>
    <row r="30" spans="3:51" ht="18" customHeight="1">
      <c r="C30" s="303"/>
      <c r="D30" s="303"/>
      <c r="E30" s="303"/>
      <c r="F30" s="303"/>
      <c r="G30" s="303"/>
      <c r="H30" s="303"/>
      <c r="I30" s="303"/>
      <c r="J30" s="303"/>
      <c r="K30" s="303"/>
      <c r="L30" s="303"/>
      <c r="M30" s="303"/>
      <c r="AC30" t="s">
        <v>2672</v>
      </c>
      <c r="AE30" s="5">
        <f>AE13</f>
        <v>927</v>
      </c>
      <c r="AF30" s="5">
        <f>AF13</f>
        <v>603</v>
      </c>
      <c r="AG30" s="6">
        <f>AE30/$AE$31</f>
        <v>0.77899159663865547</v>
      </c>
      <c r="AH30" s="6">
        <f>AF30/$AF$31</f>
        <v>0.61846153846153851</v>
      </c>
      <c r="AI30" t="str">
        <f>TEXT(AF30,"#,##0")&amp;CHAR(10)&amp;"("&amp;TEXT(AH30,"0%"&amp;")")</f>
        <v>603
(62%)</v>
      </c>
      <c r="AK30" s="5">
        <f>AK13</f>
        <v>51217</v>
      </c>
      <c r="AL30" s="5">
        <f>AL13</f>
        <v>51761</v>
      </c>
      <c r="AM30" s="6">
        <f>AK30/$AK$31</f>
        <v>0.68963334994008108</v>
      </c>
      <c r="AN30" s="6">
        <f>AL30/$AL$31</f>
        <v>0.67526385138220291</v>
      </c>
    </row>
    <row r="31" spans="3:51" ht="15">
      <c r="AC31" t="s">
        <v>2667</v>
      </c>
      <c r="AE31" s="37">
        <f>SUM(AE26:AE30)</f>
        <v>1190</v>
      </c>
      <c r="AF31" s="37">
        <f>SUM(AF26:AF30)</f>
        <v>975</v>
      </c>
      <c r="AK31" s="37">
        <f>SUM(AK26:AK30)</f>
        <v>74267</v>
      </c>
      <c r="AL31" s="37">
        <f>SUM(AL26:AL30)</f>
        <v>76653</v>
      </c>
    </row>
    <row r="32" spans="3:51" ht="15">
      <c r="C32" s="16"/>
    </row>
    <row r="33" spans="27:40">
      <c r="AE33" s="5"/>
      <c r="AF33" s="5"/>
      <c r="AG33" s="6"/>
      <c r="AH33" s="6"/>
      <c r="AK33" s="5"/>
      <c r="AL33" s="5"/>
      <c r="AM33" s="6"/>
      <c r="AN33" s="6"/>
    </row>
    <row r="35" spans="27:40" ht="15">
      <c r="AF35" s="47" t="str">
        <f>City_label</f>
        <v>Entiat</v>
      </c>
      <c r="AG35" s="298" t="str">
        <f>City_label</f>
        <v>Entiat</v>
      </c>
      <c r="AH35" s="298"/>
      <c r="AL35" s="16" t="str">
        <f>County_label</f>
        <v>Chelan County</v>
      </c>
      <c r="AM35" s="298" t="str">
        <f>County_label</f>
        <v>Chelan County</v>
      </c>
      <c r="AN35" s="298"/>
    </row>
    <row r="36" spans="27:40" ht="15">
      <c r="AE36" s="16">
        <f>AE11</f>
        <v>2015</v>
      </c>
      <c r="AF36" s="16">
        <f>AF11</f>
        <v>2020</v>
      </c>
      <c r="AG36" s="16">
        <f>AG11</f>
        <v>2015</v>
      </c>
      <c r="AH36" s="16">
        <f>AH11</f>
        <v>2020</v>
      </c>
      <c r="AK36" s="16">
        <f>AK11</f>
        <v>2015</v>
      </c>
      <c r="AL36" s="16">
        <f>AL11</f>
        <v>2020</v>
      </c>
      <c r="AM36" s="16">
        <f>AM11</f>
        <v>2015</v>
      </c>
      <c r="AN36" s="16">
        <f>AN11</f>
        <v>2020</v>
      </c>
    </row>
    <row r="37" spans="27:40">
      <c r="AC37" t="s">
        <v>2790</v>
      </c>
      <c r="AE37" s="5">
        <f>AE20</f>
        <v>219</v>
      </c>
      <c r="AF37" s="5">
        <f>AF20</f>
        <v>242</v>
      </c>
      <c r="AG37" s="6">
        <f>AG20</f>
        <v>0.18403361344537816</v>
      </c>
      <c r="AH37" s="6">
        <f>AH20</f>
        <v>0.24820512820512822</v>
      </c>
      <c r="AI37" t="str">
        <f>TEXT(AF37,"#,##0")&amp;CHAR(10)&amp;"("&amp;TEXT(AH37,"0%"&amp;")")</f>
        <v>242
(25%)</v>
      </c>
      <c r="AK37" s="5">
        <f>AK20</f>
        <v>20199</v>
      </c>
      <c r="AL37" s="5">
        <f>AL20</f>
        <v>21531</v>
      </c>
      <c r="AM37" s="6">
        <f>AM20</f>
        <v>0.2719781329527246</v>
      </c>
      <c r="AN37" s="6">
        <f>AN20</f>
        <v>0.28088920198818051</v>
      </c>
    </row>
    <row r="38" spans="27:40">
      <c r="AC38" t="s">
        <v>2739</v>
      </c>
      <c r="AE38" s="5">
        <f>SUM(AE14:AE19)</f>
        <v>44</v>
      </c>
      <c r="AF38" s="5">
        <f>SUM(AF14:AF19)</f>
        <v>130</v>
      </c>
      <c r="AG38" s="6">
        <f>SUM(AG14:AG19)</f>
        <v>3.6974789915966387E-2</v>
      </c>
      <c r="AH38" s="6">
        <f>SUM(AH14:AH19)</f>
        <v>0.13333333333333333</v>
      </c>
      <c r="AI38" t="str">
        <f>TEXT(AF38,"#,##0")&amp;CHAR(10)&amp;"("&amp;TEXT(AH38,"0%"&amp;")")</f>
        <v>130
(13%)</v>
      </c>
      <c r="AK38" s="5">
        <f>SUM(AK14:AK19)</f>
        <v>2851</v>
      </c>
      <c r="AL38" s="5">
        <f>SUM(AL14:AL19)</f>
        <v>3361</v>
      </c>
      <c r="AM38" s="6">
        <f>SUM(AM14:AM19)</f>
        <v>3.8388517107194313E-2</v>
      </c>
      <c r="AN38" s="6">
        <f>SUM(AN14:AN19)</f>
        <v>4.3846946629616579E-2</v>
      </c>
    </row>
    <row r="39" spans="27:40">
      <c r="AC39" t="s">
        <v>2672</v>
      </c>
      <c r="AE39" s="5">
        <f>AE13</f>
        <v>927</v>
      </c>
      <c r="AF39" s="5">
        <f>AF13</f>
        <v>603</v>
      </c>
      <c r="AG39" s="6">
        <f>AG13</f>
        <v>0.77899159663865547</v>
      </c>
      <c r="AH39" s="6">
        <f>AH13</f>
        <v>0.61846153846153851</v>
      </c>
      <c r="AI39" t="str">
        <f>TEXT(AF39,"#,##0")&amp;CHAR(10)&amp;"("&amp;TEXT(AH39,"0%"&amp;")")</f>
        <v>603
(62%)</v>
      </c>
      <c r="AK39" s="5">
        <f>AK13</f>
        <v>51217</v>
      </c>
      <c r="AL39" s="5">
        <f>AL13</f>
        <v>51761</v>
      </c>
      <c r="AM39" s="6">
        <f>AM13</f>
        <v>0.68963334994008108</v>
      </c>
      <c r="AN39" s="6">
        <f>AN13</f>
        <v>0.67526385138220291</v>
      </c>
    </row>
    <row r="40" spans="27:40" ht="14.25" customHeight="1">
      <c r="AD40" t="s">
        <v>2667</v>
      </c>
      <c r="AE40" s="37">
        <f>SUM(AE37:AE38)</f>
        <v>263</v>
      </c>
      <c r="AF40" s="37">
        <f>SUM(AF37:AF38)</f>
        <v>372</v>
      </c>
      <c r="AG40" s="53">
        <f>SUM(AG37:AG38)</f>
        <v>0.22100840336134456</v>
      </c>
      <c r="AH40" s="53">
        <f>SUM(AH37:AH38)</f>
        <v>0.38153846153846155</v>
      </c>
      <c r="AK40" s="37">
        <f>SUM(AK37:AK38)</f>
        <v>23050</v>
      </c>
      <c r="AL40" s="37">
        <f>SUM(AL37:AL38)</f>
        <v>24892</v>
      </c>
      <c r="AM40" s="53">
        <f>SUM(AM37:AM38)</f>
        <v>0.31036665005991892</v>
      </c>
      <c r="AN40" s="53">
        <f>SUM(AN37:AN38)</f>
        <v>0.32473614861779709</v>
      </c>
    </row>
    <row r="44" spans="27:40">
      <c r="AF44" s="31"/>
      <c r="AG44" s="31"/>
    </row>
    <row r="45" spans="27:40">
      <c r="AF45" s="31"/>
      <c r="AG45" s="31"/>
    </row>
    <row r="46" spans="27:40">
      <c r="AF46" s="31"/>
      <c r="AG46" s="31"/>
    </row>
    <row r="47" spans="27:40" ht="17.25" thickBot="1">
      <c r="AA47" s="62" t="s">
        <v>2753</v>
      </c>
      <c r="AB47" s="62"/>
      <c r="AC47" s="62"/>
      <c r="AD47" s="62"/>
      <c r="AE47" s="62"/>
      <c r="AF47" s="62"/>
      <c r="AG47" s="62"/>
      <c r="AH47" s="62"/>
      <c r="AI47" s="62"/>
      <c r="AJ47" s="62"/>
      <c r="AK47" s="62"/>
      <c r="AL47" s="62"/>
      <c r="AM47" s="62"/>
      <c r="AN47" s="62"/>
    </row>
    <row r="48" spans="27:40" ht="15" thickTop="1"/>
    <row r="49" spans="3:40" ht="15">
      <c r="AE49" s="36" t="str">
        <f>City_label</f>
        <v>Entiat</v>
      </c>
      <c r="AF49" s="36" t="str">
        <f>City_label</f>
        <v>Entiat</v>
      </c>
      <c r="AG49" s="36" t="str">
        <f>City_label</f>
        <v>Entiat</v>
      </c>
      <c r="AH49" s="98" t="str">
        <f>IF(AH50&gt;=1, "Small Numbers", "")</f>
        <v>Small Numbers</v>
      </c>
      <c r="AK49" s="36" t="str">
        <f>City_label</f>
        <v>Entiat</v>
      </c>
      <c r="AL49" s="36" t="str">
        <f>City_label</f>
        <v>Entiat</v>
      </c>
      <c r="AM49" s="36" t="str">
        <f>City_label</f>
        <v>Entiat</v>
      </c>
      <c r="AN49" t="str">
        <f>IF(AN50&gt;=1, "Small Numbers", "")</f>
        <v>Small Numbers</v>
      </c>
    </row>
    <row r="50" spans="3:40" ht="15">
      <c r="AE50" s="36">
        <v>2015</v>
      </c>
      <c r="AF50" s="36">
        <v>2015</v>
      </c>
      <c r="AG50" s="36">
        <v>2015</v>
      </c>
      <c r="AH50" s="160">
        <f>SUM(AH52:AH60)</f>
        <v>1</v>
      </c>
      <c r="AK50" s="36">
        <v>2020</v>
      </c>
      <c r="AL50" s="36">
        <v>2020</v>
      </c>
      <c r="AM50" s="36">
        <v>2020</v>
      </c>
      <c r="AN50" s="113">
        <f>SUM(AN52:AN60)</f>
        <v>2</v>
      </c>
    </row>
    <row r="51" spans="3:40" ht="15">
      <c r="AA51" s="36">
        <v>2015</v>
      </c>
      <c r="AB51" s="36">
        <v>2020</v>
      </c>
      <c r="AC51" s="16" t="s">
        <v>2705</v>
      </c>
      <c r="AE51" s="36" t="s">
        <v>1895</v>
      </c>
      <c r="AF51" s="36" t="s">
        <v>2707</v>
      </c>
      <c r="AG51" s="36" t="s">
        <v>2715</v>
      </c>
      <c r="AH51" s="36" t="s">
        <v>2714</v>
      </c>
      <c r="AK51" s="36" t="s">
        <v>1895</v>
      </c>
      <c r="AL51" s="36" t="s">
        <v>2707</v>
      </c>
      <c r="AM51" s="36" t="s">
        <v>2715</v>
      </c>
      <c r="AN51" s="36" t="s">
        <v>2714</v>
      </c>
    </row>
    <row r="52" spans="3:40" ht="14.25" customHeight="1">
      <c r="C52" s="304" t="str">
        <f>"Source:  " &amp; Inputs!$J$48</f>
        <v>Source:  US Census Bureau, 2016-2020 American Community Survey 5-Year Estimates (Table DP05); Washington Department of Commerce, 2023</v>
      </c>
      <c r="D52" s="304"/>
      <c r="E52" s="304"/>
      <c r="F52" s="304"/>
      <c r="G52" s="304"/>
      <c r="H52" s="304"/>
      <c r="I52" s="304"/>
      <c r="J52" s="304"/>
      <c r="K52" s="304"/>
      <c r="L52" s="304"/>
      <c r="M52" s="304"/>
      <c r="AA52" s="112" t="s">
        <v>2492</v>
      </c>
      <c r="AB52" s="112" t="s">
        <v>2482</v>
      </c>
      <c r="AC52" t="s">
        <v>2672</v>
      </c>
      <c r="AE52" s="1">
        <v>927</v>
      </c>
      <c r="AF52" s="1">
        <v>176</v>
      </c>
      <c r="AG52" s="6">
        <f t="shared" ref="AG52:AG60" si="9">IFERROR(((AF52/1.645)/AE52), 0)</f>
        <v>0.1154162691035238</v>
      </c>
      <c r="AH52" s="98">
        <f>IF(AG52&gt;MOE_Threshold, 1, 0)</f>
        <v>0</v>
      </c>
      <c r="AK52" s="1">
        <v>603</v>
      </c>
      <c r="AL52" s="1">
        <v>132</v>
      </c>
      <c r="AM52" s="6">
        <f t="shared" ref="AM52:AM60" si="10">IFERROR(((AL52/1.645)/AK52), 0)</f>
        <v>0.13307323564548079</v>
      </c>
      <c r="AN52" s="98">
        <f>IF(AM52&gt;MOE_Threshold, 1, 0)</f>
        <v>0</v>
      </c>
    </row>
    <row r="53" spans="3:40">
      <c r="C53" s="304"/>
      <c r="D53" s="304"/>
      <c r="E53" s="304"/>
      <c r="F53" s="304"/>
      <c r="G53" s="304"/>
      <c r="H53" s="304"/>
      <c r="I53" s="304"/>
      <c r="J53" s="304"/>
      <c r="K53" s="304"/>
      <c r="L53" s="304"/>
      <c r="M53" s="304"/>
      <c r="AA53" s="112" t="s">
        <v>2490</v>
      </c>
      <c r="AB53" s="112" t="s">
        <v>2480</v>
      </c>
      <c r="AC53" t="s">
        <v>2673</v>
      </c>
      <c r="AE53" s="1">
        <v>0</v>
      </c>
      <c r="AF53" s="1">
        <v>12</v>
      </c>
      <c r="AG53" s="6">
        <f t="shared" si="9"/>
        <v>0</v>
      </c>
      <c r="AH53" s="98">
        <f>IF(AG53&gt;MOE_Threshold, 1, 0)</f>
        <v>0</v>
      </c>
      <c r="AK53" s="1">
        <v>0</v>
      </c>
      <c r="AL53" s="1">
        <v>13</v>
      </c>
      <c r="AM53" s="6">
        <f t="shared" si="10"/>
        <v>0</v>
      </c>
      <c r="AN53" s="98">
        <f>IF(AM53&gt;MOE_Threshold, 1, 0)</f>
        <v>0</v>
      </c>
    </row>
    <row r="54" spans="3:40">
      <c r="C54" s="50"/>
      <c r="D54" s="50"/>
      <c r="E54" s="50"/>
      <c r="F54" s="50"/>
      <c r="G54" s="50"/>
      <c r="H54" s="50"/>
      <c r="I54" s="50"/>
      <c r="J54" s="50"/>
      <c r="K54" s="50"/>
      <c r="AA54" s="112" t="s">
        <v>2488</v>
      </c>
      <c r="AB54" s="112" t="s">
        <v>2478</v>
      </c>
      <c r="AC54" t="s">
        <v>2674</v>
      </c>
      <c r="AE54" s="1">
        <v>18</v>
      </c>
      <c r="AF54" s="1">
        <v>23</v>
      </c>
      <c r="AG54" s="6">
        <f t="shared" si="9"/>
        <v>0.77676460655184054</v>
      </c>
      <c r="AH54" s="98"/>
      <c r="AK54" s="1">
        <v>8</v>
      </c>
      <c r="AL54" s="1">
        <v>13</v>
      </c>
      <c r="AM54" s="6">
        <f t="shared" si="10"/>
        <v>0.9878419452887538</v>
      </c>
      <c r="AN54" s="98"/>
    </row>
    <row r="55" spans="3:40">
      <c r="AA55" s="112" t="s">
        <v>2486</v>
      </c>
      <c r="AB55" s="112" t="s">
        <v>2476</v>
      </c>
      <c r="AC55" t="s">
        <v>2666</v>
      </c>
      <c r="AE55" s="1">
        <v>0</v>
      </c>
      <c r="AF55" s="1">
        <v>12</v>
      </c>
      <c r="AG55" s="6">
        <f t="shared" si="9"/>
        <v>0</v>
      </c>
      <c r="AH55" s="98">
        <f>IF(AG55&gt;MOE_Threshold, 1, 0)</f>
        <v>0</v>
      </c>
      <c r="AK55" s="1">
        <v>30</v>
      </c>
      <c r="AL55" s="1">
        <v>45</v>
      </c>
      <c r="AM55" s="6">
        <f t="shared" si="10"/>
        <v>0.91185410334346506</v>
      </c>
      <c r="AN55" s="98">
        <f>IF(AM55&gt;MOE_Threshold, 1, 0)</f>
        <v>1</v>
      </c>
    </row>
    <row r="56" spans="3:40" ht="18">
      <c r="C56" s="51" t="str">
        <f>"Chart 1a. "&amp; City_label &amp; " population by race and Hispanic ethnicity, 2020"</f>
        <v>Chart 1a. Entiat population by race and Hispanic ethnicity, 2020</v>
      </c>
      <c r="AA56" s="112" t="s">
        <v>2484</v>
      </c>
      <c r="AB56" s="112" t="s">
        <v>2474</v>
      </c>
      <c r="AC56" t="s">
        <v>2675</v>
      </c>
      <c r="AE56" s="1">
        <v>2</v>
      </c>
      <c r="AF56" s="1">
        <v>5</v>
      </c>
      <c r="AG56" s="6">
        <f t="shared" si="9"/>
        <v>1.519756838905775</v>
      </c>
      <c r="AH56" s="98"/>
      <c r="AK56" s="1">
        <v>11</v>
      </c>
      <c r="AL56" s="1">
        <v>19</v>
      </c>
      <c r="AM56" s="6">
        <f t="shared" si="10"/>
        <v>1.0500138159712629</v>
      </c>
      <c r="AN56" s="98"/>
    </row>
    <row r="57" spans="3:40">
      <c r="AA57" s="112" t="s">
        <v>2482</v>
      </c>
      <c r="AB57" s="112" t="s">
        <v>2472</v>
      </c>
      <c r="AC57" t="s">
        <v>2706</v>
      </c>
      <c r="AE57" s="1">
        <v>0</v>
      </c>
      <c r="AF57" s="1">
        <v>12</v>
      </c>
      <c r="AG57" s="6">
        <f t="shared" si="9"/>
        <v>0</v>
      </c>
      <c r="AH57" s="98"/>
      <c r="AK57" s="1">
        <v>0</v>
      </c>
      <c r="AL57" s="1">
        <v>13</v>
      </c>
      <c r="AM57" s="6">
        <f t="shared" si="10"/>
        <v>0</v>
      </c>
      <c r="AN57" s="98"/>
    </row>
    <row r="58" spans="3:40">
      <c r="AA58" s="112" t="s">
        <v>2480</v>
      </c>
      <c r="AB58" s="112" t="s">
        <v>2470</v>
      </c>
      <c r="AC58" t="s">
        <v>2665</v>
      </c>
      <c r="AE58" s="1">
        <v>24</v>
      </c>
      <c r="AF58" s="1">
        <v>24</v>
      </c>
      <c r="AG58" s="6">
        <f t="shared" si="9"/>
        <v>0.60790273556231</v>
      </c>
      <c r="AH58" s="98"/>
      <c r="AK58" s="1">
        <v>81</v>
      </c>
      <c r="AL58" s="1">
        <v>75</v>
      </c>
      <c r="AM58" s="6">
        <f t="shared" si="10"/>
        <v>0.5628729032984352</v>
      </c>
      <c r="AN58" s="98"/>
    </row>
    <row r="59" spans="3:40">
      <c r="AA59" s="112" t="s">
        <v>2496</v>
      </c>
      <c r="AB59" s="112" t="s">
        <v>2494</v>
      </c>
      <c r="AC59" t="s">
        <v>2790</v>
      </c>
      <c r="AE59" s="1">
        <v>219</v>
      </c>
      <c r="AF59" s="1">
        <v>141</v>
      </c>
      <c r="AG59" s="6">
        <f t="shared" si="9"/>
        <v>0.39138943248532287</v>
      </c>
      <c r="AH59" s="98">
        <f>IF(AG59&gt;MOE_Threshold, 1, 0)</f>
        <v>1</v>
      </c>
      <c r="AK59" s="1">
        <v>242</v>
      </c>
      <c r="AL59" s="1">
        <v>131</v>
      </c>
      <c r="AM59" s="6">
        <f t="shared" si="10"/>
        <v>0.32907131553166369</v>
      </c>
      <c r="AN59" s="98">
        <f>IF(AM59&gt;MOE_Threshold, 1, 0)</f>
        <v>1</v>
      </c>
    </row>
    <row r="60" spans="3:40" ht="15">
      <c r="AA60" s="112" t="s">
        <v>2500</v>
      </c>
      <c r="AB60" s="112" t="s">
        <v>2498</v>
      </c>
      <c r="AC60" s="16" t="s">
        <v>2667</v>
      </c>
      <c r="AE60" s="2">
        <v>1190</v>
      </c>
      <c r="AF60" s="2">
        <v>214</v>
      </c>
      <c r="AG60" s="6">
        <f t="shared" si="9"/>
        <v>0.10932032387423053</v>
      </c>
      <c r="AH60" s="98">
        <f>IF(AG60&gt;MOE_Threshold, 1, 0)</f>
        <v>0</v>
      </c>
      <c r="AK60" s="2">
        <v>975</v>
      </c>
      <c r="AL60" s="2">
        <v>213</v>
      </c>
      <c r="AM60" s="6">
        <f t="shared" si="10"/>
        <v>0.13280336684592003</v>
      </c>
      <c r="AN60" s="98">
        <f>IF(AM60&gt;MOE_Threshold, 1, 0)</f>
        <v>0</v>
      </c>
    </row>
    <row r="61" spans="3:40">
      <c r="AE61" s="1"/>
      <c r="AF61" s="1"/>
      <c r="AK61" s="1"/>
      <c r="AL61" s="1"/>
      <c r="AN61" s="98"/>
    </row>
    <row r="62" spans="3:40">
      <c r="AN62" s="98"/>
    </row>
    <row r="63" spans="3:40">
      <c r="AN63" s="98"/>
    </row>
    <row r="64" spans="3:40" ht="15">
      <c r="AF64" s="36" t="str">
        <f>County_label</f>
        <v>Chelan County</v>
      </c>
      <c r="AG64" s="36" t="str">
        <f>County_label</f>
        <v>Chelan County</v>
      </c>
      <c r="AH64" t="str">
        <f>IF(AH65&gt;=1, "Small Numbers", "")</f>
        <v/>
      </c>
      <c r="AK64" s="36" t="str">
        <f>County_label</f>
        <v>Chelan County</v>
      </c>
      <c r="AL64" s="36" t="str">
        <f>County_label</f>
        <v>Chelan County</v>
      </c>
      <c r="AM64" s="36" t="str">
        <f>County_label</f>
        <v>Chelan County</v>
      </c>
      <c r="AN64" s="98" t="str">
        <f>IF(AN65&gt;=1, "Small Numbers", "")</f>
        <v>Small Numbers</v>
      </c>
    </row>
    <row r="65" spans="3:40" ht="15">
      <c r="AE65" s="36">
        <v>2015</v>
      </c>
      <c r="AF65" s="36">
        <v>2015</v>
      </c>
      <c r="AG65" s="36">
        <v>2015</v>
      </c>
      <c r="AH65" s="160">
        <f>SUM(AH67:AH75)</f>
        <v>0</v>
      </c>
      <c r="AK65" s="36">
        <v>2020</v>
      </c>
      <c r="AL65" s="36">
        <v>2020</v>
      </c>
      <c r="AM65" s="36">
        <v>2020</v>
      </c>
      <c r="AN65" s="160">
        <f>SUM(AN67:AN75)</f>
        <v>1</v>
      </c>
    </row>
    <row r="66" spans="3:40" ht="15">
      <c r="AA66" s="36">
        <v>2015</v>
      </c>
      <c r="AB66" s="36">
        <v>2020</v>
      </c>
      <c r="AC66" s="16" t="s">
        <v>2705</v>
      </c>
      <c r="AE66" s="36" t="s">
        <v>1895</v>
      </c>
      <c r="AF66" s="36" t="s">
        <v>2707</v>
      </c>
      <c r="AG66" s="36" t="s">
        <v>2715</v>
      </c>
      <c r="AH66" s="36" t="s">
        <v>2714</v>
      </c>
      <c r="AK66" s="36" t="s">
        <v>1895</v>
      </c>
      <c r="AL66" s="36" t="s">
        <v>2707</v>
      </c>
      <c r="AM66" s="36" t="s">
        <v>2715</v>
      </c>
      <c r="AN66" s="36" t="s">
        <v>2714</v>
      </c>
    </row>
    <row r="67" spans="3:40">
      <c r="AA67" s="112" t="s">
        <v>2492</v>
      </c>
      <c r="AB67" s="112" t="s">
        <v>2482</v>
      </c>
      <c r="AC67" t="s">
        <v>2672</v>
      </c>
      <c r="AE67" s="1">
        <v>51217</v>
      </c>
      <c r="AF67" s="1">
        <v>30</v>
      </c>
      <c r="AG67" s="6">
        <f t="shared" ref="AG67:AG75" si="11">IFERROR(((AF67/1.645)/AE67), 0)</f>
        <v>3.5607478116385773E-4</v>
      </c>
      <c r="AH67" s="98">
        <f>IF(AG67&gt;MOE_Threshold, 1, 0)</f>
        <v>0</v>
      </c>
      <c r="AK67" s="1">
        <v>51761</v>
      </c>
      <c r="AL67" s="1">
        <v>136</v>
      </c>
      <c r="AM67" s="6">
        <f t="shared" ref="AM67:AM75" si="12">IFERROR(((AL67/1.645)/AK67), 0)</f>
        <v>1.5972406258857859E-3</v>
      </c>
      <c r="AN67" s="98">
        <f>IF(AM67&gt;MOE_Threshold, 1, 0)</f>
        <v>0</v>
      </c>
    </row>
    <row r="68" spans="3:40">
      <c r="AA68" s="112" t="s">
        <v>2490</v>
      </c>
      <c r="AB68" s="112" t="s">
        <v>2480</v>
      </c>
      <c r="AC68" t="s">
        <v>2673</v>
      </c>
      <c r="AE68" s="1">
        <v>340</v>
      </c>
      <c r="AF68" s="1">
        <v>103</v>
      </c>
      <c r="AG68" s="6">
        <f t="shared" si="11"/>
        <v>0.1841587698909351</v>
      </c>
      <c r="AH68" s="98">
        <f>IF(AG68&gt;MOE_Threshold, 1, 0)</f>
        <v>0</v>
      </c>
      <c r="AK68" s="1">
        <v>247</v>
      </c>
      <c r="AL68" s="1">
        <v>128</v>
      </c>
      <c r="AM68" s="6">
        <f t="shared" si="12"/>
        <v>0.31502651883390964</v>
      </c>
      <c r="AN68" s="98">
        <f>IF(AM68&gt;MOE_Threshold, 1, 0)</f>
        <v>1</v>
      </c>
    </row>
    <row r="69" spans="3:40">
      <c r="AA69" s="112" t="s">
        <v>2488</v>
      </c>
      <c r="AB69" s="112" t="s">
        <v>2478</v>
      </c>
      <c r="AC69" t="s">
        <v>2674</v>
      </c>
      <c r="AE69" s="1">
        <v>699</v>
      </c>
      <c r="AF69" s="1">
        <v>107</v>
      </c>
      <c r="AG69" s="6">
        <f t="shared" si="11"/>
        <v>9.3055211309252026E-2</v>
      </c>
      <c r="AH69" s="98"/>
      <c r="AK69" s="1">
        <v>330</v>
      </c>
      <c r="AL69" s="1">
        <v>143</v>
      </c>
      <c r="AM69" s="6">
        <f t="shared" si="12"/>
        <v>0.26342451874366768</v>
      </c>
      <c r="AN69" s="98"/>
    </row>
    <row r="70" spans="3:40">
      <c r="AA70" s="112" t="s">
        <v>2486</v>
      </c>
      <c r="AB70" s="112" t="s">
        <v>2476</v>
      </c>
      <c r="AC70" t="s">
        <v>2666</v>
      </c>
      <c r="AE70" s="1">
        <v>591</v>
      </c>
      <c r="AF70" s="1">
        <v>142</v>
      </c>
      <c r="AG70" s="6">
        <f t="shared" si="11"/>
        <v>0.14606123257165488</v>
      </c>
      <c r="AH70" s="98">
        <f>IF(AG70&gt;MOE_Threshold, 1, 0)</f>
        <v>0</v>
      </c>
      <c r="AK70" s="1">
        <v>624</v>
      </c>
      <c r="AL70" s="1">
        <v>157</v>
      </c>
      <c r="AM70" s="6">
        <f t="shared" si="12"/>
        <v>0.15294988699244019</v>
      </c>
      <c r="AN70" s="98">
        <f>IF(AM70&gt;MOE_Threshold, 1, 0)</f>
        <v>0</v>
      </c>
    </row>
    <row r="71" spans="3:40">
      <c r="C71" s="302" t="str">
        <f>"Source:  " &amp; Inputs!$J$48</f>
        <v>Source:  US Census Bureau, 2016-2020 American Community Survey 5-Year Estimates (Table DP05); Washington Department of Commerce, 2023</v>
      </c>
      <c r="D71" s="302"/>
      <c r="E71" s="302"/>
      <c r="F71" s="302"/>
      <c r="G71" s="302"/>
      <c r="H71" s="302"/>
      <c r="I71" s="302"/>
      <c r="J71" s="302"/>
      <c r="K71" s="302"/>
      <c r="AA71" s="112" t="s">
        <v>2484</v>
      </c>
      <c r="AB71" s="112" t="s">
        <v>2474</v>
      </c>
      <c r="AC71" t="s">
        <v>2675</v>
      </c>
      <c r="AE71" s="1">
        <v>60</v>
      </c>
      <c r="AF71" s="1">
        <v>34</v>
      </c>
      <c r="AG71" s="6">
        <f t="shared" si="11"/>
        <v>0.34447821681864238</v>
      </c>
      <c r="AH71" s="98"/>
      <c r="AK71" s="1">
        <v>32</v>
      </c>
      <c r="AL71" s="1">
        <v>19</v>
      </c>
      <c r="AM71" s="6">
        <f t="shared" si="12"/>
        <v>0.36094224924012158</v>
      </c>
      <c r="AN71" s="98"/>
    </row>
    <row r="72" spans="3:40">
      <c r="C72" s="302"/>
      <c r="D72" s="302"/>
      <c r="E72" s="302"/>
      <c r="F72" s="302"/>
      <c r="G72" s="302"/>
      <c r="H72" s="302"/>
      <c r="I72" s="302"/>
      <c r="J72" s="302"/>
      <c r="K72" s="302"/>
      <c r="AA72" s="112" t="s">
        <v>2482</v>
      </c>
      <c r="AB72" s="112" t="s">
        <v>2472</v>
      </c>
      <c r="AC72" t="s">
        <v>2706</v>
      </c>
      <c r="AE72" s="1">
        <v>13</v>
      </c>
      <c r="AF72" s="1">
        <v>20</v>
      </c>
      <c r="AG72" s="6">
        <f t="shared" si="11"/>
        <v>0.93523497778816922</v>
      </c>
      <c r="AH72" s="98"/>
      <c r="AK72" s="1">
        <v>90</v>
      </c>
      <c r="AL72" s="1">
        <v>87</v>
      </c>
      <c r="AM72" s="6">
        <f t="shared" si="12"/>
        <v>0.58763931104356637</v>
      </c>
      <c r="AN72" s="98"/>
    </row>
    <row r="73" spans="3:40">
      <c r="AA73" s="112" t="s">
        <v>2480</v>
      </c>
      <c r="AB73" s="112" t="s">
        <v>2470</v>
      </c>
      <c r="AC73" t="s">
        <v>2665</v>
      </c>
      <c r="AE73" s="1">
        <v>1148</v>
      </c>
      <c r="AF73" s="1">
        <v>209</v>
      </c>
      <c r="AG73" s="6">
        <f t="shared" si="11"/>
        <v>0.11067218792031602</v>
      </c>
      <c r="AH73" s="98"/>
      <c r="AK73" s="1">
        <v>2038</v>
      </c>
      <c r="AL73" s="1">
        <v>268</v>
      </c>
      <c r="AM73" s="6">
        <f t="shared" si="12"/>
        <v>7.9940104578360691E-2</v>
      </c>
      <c r="AN73" s="98"/>
    </row>
    <row r="74" spans="3:40" ht="18" customHeight="1">
      <c r="C74" s="303" t="str">
        <f>"Table 2. Racial composition percentage of "&amp; City_label &amp; " and " &amp; County_label&amp; " 2015 and 2020"</f>
        <v>Table 2. Racial composition percentage of Entiat and Chelan County 2015 and 2020</v>
      </c>
      <c r="D74" s="303"/>
      <c r="E74" s="303"/>
      <c r="F74" s="303"/>
      <c r="G74" s="303"/>
      <c r="H74" s="303"/>
      <c r="I74" s="303"/>
      <c r="J74" s="303"/>
      <c r="K74" s="303"/>
      <c r="L74" s="303"/>
      <c r="M74" s="303"/>
      <c r="AA74" s="112" t="s">
        <v>2496</v>
      </c>
      <c r="AB74" s="112" t="s">
        <v>2494</v>
      </c>
      <c r="AC74" t="s">
        <v>2790</v>
      </c>
      <c r="AE74" s="1">
        <v>20199</v>
      </c>
      <c r="AF74" s="1" t="s">
        <v>2425</v>
      </c>
      <c r="AG74" s="6">
        <f t="shared" si="11"/>
        <v>0</v>
      </c>
      <c r="AH74" s="98">
        <f>IF(AG74&gt;MOE_Threshold, 1, 0)</f>
        <v>0</v>
      </c>
      <c r="AK74" s="1">
        <v>21531</v>
      </c>
      <c r="AL74" s="1" t="s">
        <v>2425</v>
      </c>
      <c r="AM74" s="6">
        <f t="shared" si="12"/>
        <v>0</v>
      </c>
      <c r="AN74" s="98">
        <f>IF(AM74&gt;MOE_Threshold, 1, 0)</f>
        <v>0</v>
      </c>
    </row>
    <row r="75" spans="3:40" ht="18" customHeight="1">
      <c r="C75" s="303"/>
      <c r="D75" s="303"/>
      <c r="E75" s="303"/>
      <c r="F75" s="303"/>
      <c r="G75" s="303"/>
      <c r="H75" s="303"/>
      <c r="I75" s="303"/>
      <c r="J75" s="303"/>
      <c r="K75" s="303"/>
      <c r="L75" s="303"/>
      <c r="M75" s="303"/>
      <c r="AA75" s="112" t="s">
        <v>2500</v>
      </c>
      <c r="AB75" s="112" t="s">
        <v>2498</v>
      </c>
      <c r="AC75" s="16" t="s">
        <v>2667</v>
      </c>
      <c r="AE75" s="2">
        <v>74267</v>
      </c>
      <c r="AF75" s="1" t="s">
        <v>2425</v>
      </c>
      <c r="AG75" s="6">
        <f t="shared" si="11"/>
        <v>0</v>
      </c>
      <c r="AH75" s="98">
        <f>IF(AG75&gt;MOE_Threshold, 1, 0)</f>
        <v>0</v>
      </c>
      <c r="AK75" s="2">
        <v>76653</v>
      </c>
      <c r="AL75" s="1" t="s">
        <v>2425</v>
      </c>
      <c r="AM75" s="6">
        <f t="shared" si="12"/>
        <v>0</v>
      </c>
      <c r="AN75" s="161">
        <f>IF(AM75&gt;MOE_Threshold, 1, 0)</f>
        <v>0</v>
      </c>
    </row>
    <row r="76" spans="3:40" ht="18" customHeight="1" thickBot="1">
      <c r="AE76" s="1"/>
      <c r="AF76" s="1"/>
      <c r="AK76" s="1"/>
      <c r="AL76" s="1"/>
    </row>
    <row r="77" spans="3:40">
      <c r="C77" s="64"/>
      <c r="D77" s="64"/>
      <c r="E77" s="64"/>
      <c r="F77" s="305" t="str">
        <f>City_label</f>
        <v>Entiat</v>
      </c>
      <c r="G77" s="305"/>
      <c r="H77" s="305" t="str">
        <f>County_label</f>
        <v>Chelan County</v>
      </c>
      <c r="I77" s="305"/>
      <c r="J77" s="100"/>
    </row>
    <row r="78" spans="3:40">
      <c r="C78" s="66" t="s">
        <v>2704</v>
      </c>
      <c r="D78" s="66"/>
      <c r="E78" s="66"/>
      <c r="F78" s="67">
        <v>2015</v>
      </c>
      <c r="G78" s="67">
        <v>2020</v>
      </c>
      <c r="H78" s="67">
        <v>2015</v>
      </c>
      <c r="I78" s="67">
        <v>2020</v>
      </c>
      <c r="J78" s="67"/>
    </row>
    <row r="79" spans="3:40">
      <c r="C79" s="29" t="s">
        <v>2666</v>
      </c>
      <c r="D79" s="29"/>
      <c r="E79" s="29"/>
      <c r="F79" s="179">
        <f t="shared" ref="F79:G83" si="13">AG26</f>
        <v>0</v>
      </c>
      <c r="G79" s="179">
        <f t="shared" si="13"/>
        <v>3.0769230769230771E-2</v>
      </c>
      <c r="H79" s="179">
        <f t="shared" ref="H79:I83" si="14">AM26</f>
        <v>7.9577739776751453E-3</v>
      </c>
      <c r="I79" s="179">
        <f t="shared" si="14"/>
        <v>8.1405815819341702E-3</v>
      </c>
    </row>
    <row r="80" spans="3:40">
      <c r="C80" s="29" t="s">
        <v>2673</v>
      </c>
      <c r="D80" s="29"/>
      <c r="E80" s="29"/>
      <c r="F80" s="101">
        <f t="shared" si="13"/>
        <v>0</v>
      </c>
      <c r="G80" s="101">
        <f t="shared" si="13"/>
        <v>0</v>
      </c>
      <c r="H80" s="101">
        <f t="shared" si="14"/>
        <v>4.5780764000161577E-3</v>
      </c>
      <c r="I80" s="101">
        <f t="shared" si="14"/>
        <v>3.2223135428489425E-3</v>
      </c>
    </row>
    <row r="81" spans="3:10">
      <c r="C81" s="29" t="s">
        <v>2790</v>
      </c>
      <c r="D81" s="29"/>
      <c r="E81" s="29"/>
      <c r="F81" s="179">
        <f t="shared" si="13"/>
        <v>0.18403361344537816</v>
      </c>
      <c r="G81" s="179">
        <f t="shared" si="13"/>
        <v>0.24820512820512822</v>
      </c>
      <c r="H81" s="179">
        <f t="shared" si="14"/>
        <v>0.2719781329527246</v>
      </c>
      <c r="I81" s="179">
        <f t="shared" si="14"/>
        <v>0.28088920198818051</v>
      </c>
    </row>
    <row r="82" spans="3:10">
      <c r="C82" s="29" t="s">
        <v>2706</v>
      </c>
      <c r="D82" s="29"/>
      <c r="E82" s="29"/>
      <c r="F82" s="101">
        <f t="shared" si="13"/>
        <v>3.6974789915966387E-2</v>
      </c>
      <c r="G82" s="101">
        <f t="shared" si="13"/>
        <v>0.10256410256410256</v>
      </c>
      <c r="H82" s="101">
        <f t="shared" si="14"/>
        <v>2.585266672950301E-2</v>
      </c>
      <c r="I82" s="101">
        <f t="shared" si="14"/>
        <v>3.2484051504833474E-2</v>
      </c>
    </row>
    <row r="83" spans="3:10" ht="13.9" customHeight="1">
      <c r="C83" s="29" t="s">
        <v>2672</v>
      </c>
      <c r="D83" s="29"/>
      <c r="E83" s="29"/>
      <c r="F83" s="179">
        <f t="shared" si="13"/>
        <v>0.77899159663865547</v>
      </c>
      <c r="G83" s="179">
        <f t="shared" si="13"/>
        <v>0.61846153846153851</v>
      </c>
      <c r="H83" s="179">
        <f t="shared" si="14"/>
        <v>0.68963334994008108</v>
      </c>
      <c r="I83" s="179">
        <f t="shared" si="14"/>
        <v>0.67526385138220291</v>
      </c>
      <c r="J83" s="35"/>
    </row>
    <row r="84" spans="3:10">
      <c r="C84" s="306" t="s">
        <v>2713</v>
      </c>
      <c r="D84" s="306"/>
      <c r="E84" s="306"/>
      <c r="F84" s="306"/>
      <c r="G84" s="306"/>
      <c r="H84" s="306"/>
      <c r="I84" s="306"/>
      <c r="J84" s="306"/>
    </row>
    <row r="85" spans="3:10">
      <c r="C85" s="307"/>
      <c r="D85" s="307"/>
      <c r="E85" s="307"/>
      <c r="F85" s="307"/>
      <c r="G85" s="307"/>
      <c r="H85" s="307"/>
      <c r="I85" s="307"/>
      <c r="J85" s="307"/>
    </row>
    <row r="87" spans="3:10" ht="18">
      <c r="C87" s="51" t="str">
        <f>"Chart 2. Racial composition of "&amp; City_label &amp; " and " &amp; County_label &amp;", 2020"</f>
        <v>Chart 2. Racial composition of Entiat and Chelan County, 2020</v>
      </c>
    </row>
    <row r="104" spans="3:55">
      <c r="AX104" s="31"/>
      <c r="AY104" s="31"/>
      <c r="AZ104" s="31"/>
      <c r="BA104" s="31"/>
      <c r="BB104" s="31"/>
      <c r="BC104" s="31"/>
    </row>
    <row r="105" spans="3:55">
      <c r="AW105" s="31"/>
    </row>
    <row r="109" spans="3:55">
      <c r="C109" s="46"/>
      <c r="D109" s="46"/>
      <c r="E109" s="46"/>
      <c r="F109" s="46"/>
      <c r="G109" s="46"/>
      <c r="H109" s="46"/>
      <c r="I109" s="46"/>
      <c r="J109" s="46"/>
      <c r="K109" s="46"/>
    </row>
    <row r="110" spans="3:55">
      <c r="C110" s="302" t="s">
        <v>2713</v>
      </c>
      <c r="D110" s="302"/>
      <c r="E110" s="302"/>
      <c r="F110" s="302"/>
      <c r="G110" s="302"/>
      <c r="H110" s="302"/>
      <c r="I110" s="302"/>
      <c r="J110" s="302"/>
      <c r="K110" s="302"/>
    </row>
    <row r="111" spans="3:55">
      <c r="C111" s="302"/>
      <c r="D111" s="302"/>
      <c r="E111" s="302"/>
      <c r="F111" s="302"/>
      <c r="G111" s="302"/>
      <c r="H111" s="302"/>
      <c r="I111" s="302"/>
      <c r="J111" s="302"/>
      <c r="K111" s="302"/>
      <c r="AY111" s="31"/>
      <c r="AZ111" s="31"/>
      <c r="BA111" s="31"/>
    </row>
    <row r="112" spans="3:55">
      <c r="AY112" s="31"/>
      <c r="AZ112" s="31"/>
      <c r="BA112" s="31"/>
    </row>
    <row r="113" spans="3:55" ht="18">
      <c r="C113" s="51" t="str">
        <f>"Chart 2a. Racial composition of "&amp; City_label &amp; " and " &amp; County_label &amp;", 2020"</f>
        <v>Chart 2a. Racial composition of Entiat and Chelan County, 2020</v>
      </c>
      <c r="AY113" s="31"/>
      <c r="AZ113" s="31"/>
      <c r="BA113" s="31"/>
    </row>
    <row r="114" spans="3:55">
      <c r="AY114" s="31"/>
      <c r="AZ114" s="31"/>
      <c r="BA114" s="31"/>
    </row>
    <row r="115" spans="3:55" ht="15">
      <c r="AY115" s="32"/>
      <c r="AZ115" s="31"/>
      <c r="BA115" s="31"/>
    </row>
    <row r="116" spans="3:55">
      <c r="AY116" s="31"/>
      <c r="AZ116" s="31"/>
      <c r="BA116" s="31"/>
    </row>
    <row r="117" spans="3:55">
      <c r="AY117" s="31"/>
      <c r="AZ117" s="31"/>
      <c r="BA117" s="31"/>
    </row>
    <row r="118" spans="3:55">
      <c r="AY118" s="31"/>
      <c r="AZ118" s="31"/>
      <c r="BA118" s="31"/>
    </row>
    <row r="119" spans="3:55">
      <c r="AX119" s="31"/>
      <c r="AY119" s="31"/>
      <c r="AZ119" s="31"/>
      <c r="BA119" s="31"/>
      <c r="BB119" s="31"/>
      <c r="BC119" s="31"/>
    </row>
    <row r="120" spans="3:55">
      <c r="AW120" s="31"/>
      <c r="AX120" s="31"/>
      <c r="AY120" s="31"/>
      <c r="AZ120" s="31"/>
      <c r="BA120" s="31"/>
      <c r="BB120" s="31"/>
      <c r="BC120" s="31"/>
    </row>
    <row r="121" spans="3:55">
      <c r="AW121" s="31"/>
      <c r="AX121" s="31"/>
      <c r="AY121" s="31"/>
      <c r="AZ121" s="31"/>
      <c r="BA121" s="31"/>
      <c r="BB121" s="31"/>
      <c r="BC121" s="31"/>
    </row>
    <row r="122" spans="3:55">
      <c r="AW122" s="31"/>
      <c r="AX122" s="31"/>
      <c r="AY122" s="31"/>
      <c r="AZ122" s="31"/>
      <c r="BA122" s="31"/>
      <c r="BB122" s="31"/>
      <c r="BC122" s="31"/>
    </row>
    <row r="123" spans="3:55">
      <c r="AW123" s="31"/>
      <c r="AX123" s="31"/>
      <c r="AY123" s="31"/>
      <c r="AZ123" s="31"/>
      <c r="BA123" s="31"/>
      <c r="BB123" s="31"/>
      <c r="BC123" s="31"/>
    </row>
    <row r="124" spans="3:55">
      <c r="AW124" s="31"/>
      <c r="AX124" s="31"/>
      <c r="AY124" s="31"/>
      <c r="AZ124" s="31"/>
      <c r="BA124" s="31"/>
      <c r="BB124" s="31"/>
      <c r="BC124" s="31"/>
    </row>
    <row r="125" spans="3:55">
      <c r="AW125" s="31"/>
      <c r="AX125" s="31"/>
      <c r="AY125" s="31"/>
      <c r="AZ125" s="31"/>
      <c r="BA125" s="31"/>
      <c r="BB125" s="31"/>
      <c r="BC125" s="31"/>
    </row>
    <row r="135" spans="3:12">
      <c r="C135" s="302" t="s">
        <v>2713</v>
      </c>
      <c r="D135" s="302"/>
      <c r="E135" s="302"/>
      <c r="F135" s="302"/>
      <c r="G135" s="302"/>
      <c r="H135" s="302"/>
      <c r="I135" s="302"/>
      <c r="J135" s="302"/>
      <c r="K135" s="302"/>
    </row>
    <row r="136" spans="3:12">
      <c r="C136" s="302"/>
      <c r="D136" s="302"/>
      <c r="E136" s="302"/>
      <c r="F136" s="302"/>
      <c r="G136" s="302"/>
      <c r="H136" s="302"/>
      <c r="I136" s="302"/>
      <c r="J136" s="302"/>
      <c r="K136" s="302"/>
    </row>
    <row r="138" spans="3:12">
      <c r="C138" s="303" t="str">
        <f>"Chart 3. Racial composition of "&amp; City_label &amp; " and " &amp; County_label &amp;", 2015 and 2020"</f>
        <v>Chart 3. Racial composition of Entiat and Chelan County, 2015 and 2020</v>
      </c>
      <c r="D138" s="303"/>
      <c r="E138" s="303"/>
      <c r="F138" s="303"/>
      <c r="G138" s="303"/>
      <c r="H138" s="303"/>
      <c r="I138" s="303"/>
      <c r="J138" s="303"/>
      <c r="K138" s="303"/>
      <c r="L138" s="303"/>
    </row>
    <row r="139" spans="3:12" ht="19.5" customHeight="1">
      <c r="C139" s="303"/>
      <c r="D139" s="303"/>
      <c r="E139" s="303"/>
      <c r="F139" s="303"/>
      <c r="G139" s="303"/>
      <c r="H139" s="303"/>
      <c r="I139" s="303"/>
      <c r="J139" s="303"/>
      <c r="K139" s="303"/>
      <c r="L139" s="303"/>
    </row>
    <row r="140" spans="3:12" ht="19.5" customHeight="1"/>
    <row r="141" spans="3:12" ht="18" customHeight="1"/>
    <row r="146" spans="3:11" ht="15">
      <c r="C146" s="16"/>
    </row>
    <row r="160" spans="3:11">
      <c r="D160" s="50"/>
      <c r="E160" s="50"/>
      <c r="F160" s="50"/>
      <c r="G160" s="50"/>
      <c r="H160" s="50"/>
      <c r="I160" s="50"/>
      <c r="J160" s="50"/>
      <c r="K160" s="50"/>
    </row>
    <row r="161" spans="3:12">
      <c r="C161" s="304" t="s">
        <v>2712</v>
      </c>
      <c r="D161" s="304"/>
      <c r="E161" s="304"/>
      <c r="F161" s="304"/>
      <c r="G161" s="304"/>
      <c r="H161" s="304"/>
      <c r="I161" s="304"/>
      <c r="J161" s="304"/>
      <c r="K161" s="304"/>
      <c r="L161" s="304"/>
    </row>
    <row r="162" spans="3:12">
      <c r="C162" s="304"/>
      <c r="D162" s="304"/>
      <c r="E162" s="304"/>
      <c r="F162" s="304"/>
      <c r="G162" s="304"/>
      <c r="H162" s="304"/>
      <c r="I162" s="304"/>
      <c r="J162" s="304"/>
      <c r="K162" s="304"/>
      <c r="L162" s="304"/>
    </row>
    <row r="170" spans="3:12" ht="14.25" customHeight="1"/>
  </sheetData>
  <mergeCells count="21">
    <mergeCell ref="AK24:AL24"/>
    <mergeCell ref="AM24:AN24"/>
    <mergeCell ref="C135:K136"/>
    <mergeCell ref="C71:K72"/>
    <mergeCell ref="C84:J85"/>
    <mergeCell ref="C74:M75"/>
    <mergeCell ref="C29:M30"/>
    <mergeCell ref="C161:L162"/>
    <mergeCell ref="AM35:AN35"/>
    <mergeCell ref="C110:K111"/>
    <mergeCell ref="C52:M53"/>
    <mergeCell ref="F77:G77"/>
    <mergeCell ref="H77:I77"/>
    <mergeCell ref="C138:L139"/>
    <mergeCell ref="AB5:AC5"/>
    <mergeCell ref="AB6:AC6"/>
    <mergeCell ref="AG35:AH35"/>
    <mergeCell ref="L27:M27"/>
    <mergeCell ref="L22:M26"/>
    <mergeCell ref="C19:M20"/>
    <mergeCell ref="C5:M6"/>
  </mergeCells>
  <conditionalFormatting sqref="L27">
    <cfRule type="containsText" dxfId="2" priority="2" operator="containsText" text="Recommended">
      <formula>NOT(ISERROR(SEARCH("Recommended",L27)))</formula>
    </cfRule>
  </conditionalFormatting>
  <conditionalFormatting sqref="AH49 AH65 AN49 AN64">
    <cfRule type="containsText" dxfId="1" priority="1" operator="containsText" text="Small Numbers">
      <formula>NOT(ISERROR(SEARCH("Small Numbers",AH49)))</formula>
    </cfRule>
  </conditionalFormatting>
  <pageMargins left="0.7" right="0.7" top="0.75" bottom="0.75" header="0.3" footer="0.3"/>
  <pageSetup scale="98" fitToHeight="0" orientation="portrait" r:id="rId1"/>
  <rowBreaks count="3" manualBreakCount="3">
    <brk id="28" min="2" max="12" man="1"/>
    <brk id="72" min="2" max="12" man="1"/>
    <brk id="112" min="2" max="12"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5" tint="0.39997558519241921"/>
    <pageSetUpPr fitToPage="1"/>
  </sheetPr>
  <dimension ref="C2:BN334"/>
  <sheetViews>
    <sheetView zoomScale="90" zoomScaleNormal="90" zoomScaleSheetLayoutView="100" workbookViewId="0">
      <selection activeCell="T100" sqref="T100:Z103"/>
    </sheetView>
  </sheetViews>
  <sheetFormatPr defaultRowHeight="14.25"/>
  <cols>
    <col min="1" max="2" width="4.25" customWidth="1"/>
    <col min="3" max="3" width="8.75" customWidth="1"/>
    <col min="4" max="4" width="10" customWidth="1"/>
    <col min="5" max="5" width="9" customWidth="1"/>
    <col min="6" max="6" width="7.5" customWidth="1"/>
    <col min="7" max="7" width="9" customWidth="1"/>
    <col min="8" max="8" width="6.5" customWidth="1"/>
    <col min="9" max="9" width="8.5" customWidth="1"/>
    <col min="10" max="10" width="7" customWidth="1"/>
    <col min="11" max="11" width="5.25" customWidth="1"/>
    <col min="12" max="12" width="9.5" customWidth="1"/>
    <col min="13" max="13" width="6.375" customWidth="1"/>
    <col min="14" max="17" width="3.5" customWidth="1"/>
    <col min="18" max="18" width="19.75" bestFit="1" customWidth="1"/>
    <col min="19" max="19" width="33.625" customWidth="1"/>
    <col min="20" max="26" width="15.75" customWidth="1"/>
    <col min="30" max="30" width="22.75" customWidth="1"/>
    <col min="36" max="36" width="9.5" customWidth="1"/>
    <col min="43" max="43" width="3.25" customWidth="1"/>
    <col min="44" max="44" width="4.125" customWidth="1"/>
    <col min="45" max="46" width="3.25" customWidth="1"/>
    <col min="47" max="47" width="4.125" customWidth="1"/>
    <col min="48" max="49" width="3.25" customWidth="1"/>
    <col min="50" max="50" width="4.125" customWidth="1"/>
    <col min="51" max="51" width="3.25" customWidth="1"/>
    <col min="52" max="52" width="3.5" customWidth="1"/>
    <col min="53" max="82" width="4.125" customWidth="1"/>
  </cols>
  <sheetData>
    <row r="2" spans="3:66" ht="28.5" thickBot="1">
      <c r="C2" s="4" t="s">
        <v>2804</v>
      </c>
      <c r="D2" s="4"/>
      <c r="E2" s="4"/>
      <c r="F2" s="4"/>
      <c r="G2" s="4"/>
      <c r="H2" s="4"/>
      <c r="I2" s="4"/>
      <c r="J2" s="4"/>
      <c r="K2" s="4"/>
      <c r="L2" s="4"/>
      <c r="M2" s="4"/>
      <c r="R2" s="4" t="s">
        <v>2745</v>
      </c>
      <c r="S2" s="4"/>
      <c r="T2" s="4"/>
      <c r="U2" s="4"/>
      <c r="V2" s="4"/>
      <c r="W2" s="4"/>
      <c r="X2" s="4"/>
      <c r="Y2" s="4"/>
      <c r="Z2" s="4"/>
      <c r="AA2" s="4"/>
      <c r="AB2" s="4"/>
      <c r="AC2" s="4"/>
      <c r="AD2" s="4"/>
      <c r="AE2" s="4"/>
      <c r="AF2" s="4"/>
      <c r="AG2" s="4"/>
      <c r="AH2" s="4"/>
      <c r="AI2" s="4"/>
      <c r="AJ2" s="4"/>
      <c r="AK2" s="4"/>
      <c r="AO2" s="4" t="s">
        <v>2819</v>
      </c>
      <c r="AP2" s="4"/>
      <c r="AQ2" s="4"/>
      <c r="AR2" s="4"/>
      <c r="AS2" s="4"/>
      <c r="AT2" s="4"/>
      <c r="AU2" s="4"/>
      <c r="AV2" s="4"/>
      <c r="AW2" s="4"/>
      <c r="AX2" s="4"/>
      <c r="AY2" s="4"/>
      <c r="AZ2" s="4"/>
      <c r="BA2" s="4"/>
      <c r="BB2" s="4"/>
      <c r="BC2" s="4"/>
      <c r="BD2" s="4"/>
      <c r="BE2" s="4"/>
      <c r="BF2" s="4"/>
      <c r="BG2" s="4"/>
      <c r="BH2" s="4"/>
      <c r="BI2" s="4"/>
      <c r="BJ2" s="4"/>
      <c r="BK2" s="4"/>
      <c r="BL2" s="4"/>
      <c r="BM2" s="4"/>
      <c r="BN2" s="4"/>
    </row>
    <row r="3" spans="3:66" ht="15" thickTop="1"/>
    <row r="4" spans="3:66" ht="18">
      <c r="C4" s="51" t="str">
        <f>"Table 3. "&amp;City_label&amp;" number of households by housing cost burden, 2019"</f>
        <v>Table 3. Entiat number of households by housing cost burden, 2019</v>
      </c>
      <c r="J4" t="s">
        <v>2791</v>
      </c>
      <c r="R4" s="16" t="s">
        <v>2702</v>
      </c>
      <c r="S4" s="52" t="str">
        <f>City</f>
        <v>Entiat city, Washington</v>
      </c>
    </row>
    <row r="5" spans="3:66" ht="15.75" customHeight="1" thickBot="1">
      <c r="R5" s="16" t="s">
        <v>2703</v>
      </c>
      <c r="S5" s="52" t="str">
        <f>County</f>
        <v>Chelan County, Washington</v>
      </c>
      <c r="AD5" s="162" t="s">
        <v>2821</v>
      </c>
      <c r="AR5" s="196"/>
      <c r="AU5" s="197"/>
      <c r="AX5" s="194"/>
      <c r="BA5" s="158"/>
      <c r="BH5" s="158"/>
    </row>
    <row r="6" spans="3:66" ht="14.25" customHeight="1">
      <c r="C6" s="64"/>
      <c r="D6" s="64"/>
      <c r="E6" s="73"/>
      <c r="F6" s="313" t="s">
        <v>2672</v>
      </c>
      <c r="G6" s="313" t="s">
        <v>2673</v>
      </c>
      <c r="H6" s="313" t="s">
        <v>2666</v>
      </c>
      <c r="I6" s="313" t="s">
        <v>2720</v>
      </c>
      <c r="J6" s="313" t="s">
        <v>2721</v>
      </c>
      <c r="K6" s="313" t="s">
        <v>2706</v>
      </c>
      <c r="L6" s="313" t="s">
        <v>2796</v>
      </c>
      <c r="M6" s="313" t="s">
        <v>1</v>
      </c>
      <c r="T6" s="312" t="s">
        <v>2672</v>
      </c>
      <c r="U6" s="312" t="s">
        <v>2673</v>
      </c>
      <c r="V6" s="312" t="s">
        <v>2666</v>
      </c>
      <c r="W6" s="312" t="s">
        <v>2720</v>
      </c>
      <c r="X6" s="312" t="s">
        <v>2721</v>
      </c>
      <c r="Y6" s="312" t="s">
        <v>2706</v>
      </c>
      <c r="Z6" s="312" t="s">
        <v>2790</v>
      </c>
      <c r="AA6" s="312" t="s">
        <v>2</v>
      </c>
      <c r="AQ6" s="324" t="s">
        <v>1982</v>
      </c>
      <c r="AR6" s="324"/>
      <c r="AS6" s="324"/>
      <c r="AT6" s="324" t="s">
        <v>1981</v>
      </c>
      <c r="AU6" s="324"/>
      <c r="AV6" s="324"/>
      <c r="AW6" s="324" t="s">
        <v>2811</v>
      </c>
      <c r="AX6" s="324"/>
      <c r="AY6" s="324"/>
      <c r="AZ6" s="324" t="s">
        <v>13</v>
      </c>
      <c r="BA6" s="324"/>
      <c r="BB6" s="324"/>
      <c r="BG6" s="322" t="s">
        <v>13</v>
      </c>
      <c r="BH6" s="322"/>
      <c r="BI6" s="322"/>
    </row>
    <row r="7" spans="3:66" ht="19.5" customHeight="1">
      <c r="C7" s="81"/>
      <c r="D7" s="81"/>
      <c r="E7" s="80"/>
      <c r="F7" s="314"/>
      <c r="G7" s="314"/>
      <c r="H7" s="314"/>
      <c r="I7" s="314"/>
      <c r="J7" s="314"/>
      <c r="K7" s="314"/>
      <c r="L7" s="314"/>
      <c r="M7" s="314"/>
      <c r="S7" s="162" t="s">
        <v>2820</v>
      </c>
      <c r="T7" s="312"/>
      <c r="U7" s="312"/>
      <c r="V7" s="312"/>
      <c r="W7" s="312"/>
      <c r="X7" s="312"/>
      <c r="Y7" s="312"/>
      <c r="Z7" s="312"/>
      <c r="AA7" s="312"/>
      <c r="AB7" s="5"/>
      <c r="AC7" s="5"/>
      <c r="AD7" s="323"/>
      <c r="AE7" s="309" t="s">
        <v>2666</v>
      </c>
      <c r="AF7" s="310" t="s">
        <v>2673</v>
      </c>
      <c r="AG7" s="311" t="s">
        <v>2790</v>
      </c>
      <c r="AH7" s="309" t="s">
        <v>2723</v>
      </c>
      <c r="AI7" s="308" t="s">
        <v>2722</v>
      </c>
      <c r="AJ7" s="308" t="s">
        <v>2672</v>
      </c>
      <c r="AK7" s="309" t="s">
        <v>1</v>
      </c>
      <c r="AQ7" s="324"/>
      <c r="AR7" s="324"/>
      <c r="AS7" s="324"/>
      <c r="AT7" s="324"/>
      <c r="AU7" s="324"/>
      <c r="AV7" s="324"/>
      <c r="AW7" s="324"/>
      <c r="AX7" s="324"/>
      <c r="AY7" s="324"/>
      <c r="AZ7" s="324"/>
      <c r="BA7" s="324"/>
      <c r="BB7" s="324"/>
      <c r="BG7" s="322"/>
      <c r="BH7" s="322"/>
      <c r="BI7" s="322"/>
    </row>
    <row r="8" spans="3:66" ht="19.5" customHeight="1">
      <c r="C8" s="81"/>
      <c r="D8" s="81"/>
      <c r="E8" s="80"/>
      <c r="F8" s="314"/>
      <c r="G8" s="314"/>
      <c r="H8" s="314"/>
      <c r="I8" s="314"/>
      <c r="J8" s="314"/>
      <c r="K8" s="314"/>
      <c r="L8" s="314"/>
      <c r="M8" s="314"/>
      <c r="S8" s="5"/>
      <c r="T8" s="312"/>
      <c r="U8" s="312"/>
      <c r="V8" s="312"/>
      <c r="W8" s="312"/>
      <c r="X8" s="312"/>
      <c r="Y8" s="312"/>
      <c r="Z8" s="312"/>
      <c r="AA8" s="312"/>
      <c r="AB8" s="5"/>
      <c r="AC8" s="5"/>
      <c r="AD8" s="323"/>
      <c r="AE8" s="309"/>
      <c r="AF8" s="310"/>
      <c r="AG8" s="311"/>
      <c r="AH8" s="309"/>
      <c r="AI8" s="308"/>
      <c r="AJ8" s="308"/>
      <c r="AK8" s="309"/>
      <c r="BH8" s="194"/>
    </row>
    <row r="9" spans="3:66" ht="18" customHeight="1">
      <c r="C9" s="79" t="s">
        <v>2669</v>
      </c>
      <c r="D9" s="79"/>
      <c r="E9" s="79"/>
      <c r="F9" s="79"/>
      <c r="G9" s="79"/>
      <c r="H9" s="79"/>
      <c r="I9" s="79"/>
      <c r="J9" s="79"/>
      <c r="K9" s="79"/>
      <c r="L9" s="79"/>
      <c r="M9" s="79"/>
      <c r="S9" s="5"/>
      <c r="T9" s="312"/>
      <c r="U9" s="312"/>
      <c r="V9" s="312"/>
      <c r="W9" s="312"/>
      <c r="X9" s="312"/>
      <c r="Y9" s="312"/>
      <c r="Z9" s="312"/>
      <c r="AA9" s="312"/>
      <c r="AB9" s="5"/>
      <c r="AC9" s="5"/>
      <c r="AD9" s="323"/>
      <c r="AE9" s="309"/>
      <c r="AF9" s="310"/>
      <c r="AG9" s="311"/>
      <c r="AH9" s="309"/>
      <c r="AI9" s="308"/>
      <c r="AJ9" s="308"/>
      <c r="AK9" s="309"/>
      <c r="BG9" s="322" t="s">
        <v>2811</v>
      </c>
      <c r="BH9" s="322"/>
      <c r="BI9" s="322"/>
    </row>
    <row r="10" spans="3:66">
      <c r="C10" s="69" t="str">
        <f>S30</f>
        <v>Not Cost Burdened</v>
      </c>
      <c r="D10" s="29"/>
      <c r="E10" s="29"/>
      <c r="F10" s="102">
        <f t="shared" ref="F10:L10" si="0">T30</f>
        <v>165</v>
      </c>
      <c r="G10" s="102">
        <f t="shared" si="0"/>
        <v>0</v>
      </c>
      <c r="H10" s="102">
        <f t="shared" si="0"/>
        <v>0</v>
      </c>
      <c r="I10" s="102">
        <f t="shared" si="0"/>
        <v>0</v>
      </c>
      <c r="J10" s="102">
        <f t="shared" si="0"/>
        <v>0</v>
      </c>
      <c r="K10" s="102">
        <f t="shared" si="0"/>
        <v>15</v>
      </c>
      <c r="L10" s="102">
        <f t="shared" si="0"/>
        <v>15</v>
      </c>
      <c r="M10" s="102">
        <f>SUM(F10:L10)</f>
        <v>195</v>
      </c>
      <c r="S10" s="33" t="s">
        <v>12</v>
      </c>
      <c r="T10" s="5">
        <f t="shared" ref="T10:AA13" si="1">T30+T50</f>
        <v>210</v>
      </c>
      <c r="U10" s="5">
        <f t="shared" si="1"/>
        <v>0</v>
      </c>
      <c r="V10" s="5">
        <f t="shared" si="1"/>
        <v>0</v>
      </c>
      <c r="W10" s="5">
        <f t="shared" si="1"/>
        <v>0</v>
      </c>
      <c r="X10" s="5">
        <f t="shared" si="1"/>
        <v>0</v>
      </c>
      <c r="Y10" s="5">
        <f t="shared" si="1"/>
        <v>15</v>
      </c>
      <c r="Z10" s="5">
        <f t="shared" si="1"/>
        <v>80</v>
      </c>
      <c r="AA10" s="5">
        <f t="shared" si="1"/>
        <v>305</v>
      </c>
      <c r="AB10" s="5"/>
      <c r="AC10" s="5"/>
      <c r="AD10" s="33" t="s">
        <v>12</v>
      </c>
      <c r="AE10" s="5">
        <f>V10</f>
        <v>0</v>
      </c>
      <c r="AF10" s="5">
        <f>U10</f>
        <v>0</v>
      </c>
      <c r="AG10" s="5">
        <f>'Cost Burden'!Z10</f>
        <v>80</v>
      </c>
      <c r="AH10" s="5">
        <f>SUM(W10:Y10)</f>
        <v>15</v>
      </c>
      <c r="AI10" s="5">
        <f t="shared" ref="AI10" si="2">SUM(U10:Z10)</f>
        <v>95</v>
      </c>
      <c r="AJ10" s="5">
        <f>T10</f>
        <v>210</v>
      </c>
      <c r="AK10" s="5">
        <f t="shared" ref="AK10" si="3">SUM(AJ10,AE10:AH10)</f>
        <v>305</v>
      </c>
      <c r="AQ10" s="31"/>
      <c r="BC10" s="41"/>
      <c r="BG10" s="322"/>
      <c r="BH10" s="322"/>
      <c r="BI10" s="322"/>
    </row>
    <row r="11" spans="3:66" ht="13.9" customHeight="1">
      <c r="C11" s="69" t="str">
        <f>S36</f>
        <v>Total Cost-Burdened</v>
      </c>
      <c r="D11" s="29"/>
      <c r="E11" s="29"/>
      <c r="F11" s="102">
        <f>T36</f>
        <v>55</v>
      </c>
      <c r="G11" s="102">
        <f t="shared" ref="G11:L11" si="4">U36</f>
        <v>0</v>
      </c>
      <c r="H11" s="102">
        <f t="shared" si="4"/>
        <v>0</v>
      </c>
      <c r="I11" s="102">
        <f t="shared" si="4"/>
        <v>4</v>
      </c>
      <c r="J11" s="102">
        <f t="shared" si="4"/>
        <v>0</v>
      </c>
      <c r="K11" s="102">
        <f t="shared" si="4"/>
        <v>0</v>
      </c>
      <c r="L11" s="102">
        <f t="shared" si="4"/>
        <v>14</v>
      </c>
      <c r="M11" s="102">
        <f t="shared" ref="M11:M14" si="5">SUM(F11:L11)</f>
        <v>73</v>
      </c>
      <c r="S11" s="33" t="s">
        <v>1981</v>
      </c>
      <c r="T11" s="5">
        <f t="shared" si="1"/>
        <v>35</v>
      </c>
      <c r="U11" s="5">
        <f t="shared" si="1"/>
        <v>0</v>
      </c>
      <c r="V11" s="5">
        <f t="shared" si="1"/>
        <v>0</v>
      </c>
      <c r="W11" s="5">
        <f t="shared" si="1"/>
        <v>4</v>
      </c>
      <c r="X11" s="5">
        <f t="shared" si="1"/>
        <v>0</v>
      </c>
      <c r="Y11" s="5">
        <f t="shared" si="1"/>
        <v>0</v>
      </c>
      <c r="Z11" s="5">
        <f t="shared" si="1"/>
        <v>10</v>
      </c>
      <c r="AA11" s="5">
        <f t="shared" si="1"/>
        <v>49</v>
      </c>
      <c r="AB11" s="5"/>
      <c r="AC11" s="5"/>
      <c r="AD11" s="33" t="s">
        <v>1981</v>
      </c>
      <c r="AE11" s="5">
        <f t="shared" ref="AE11:AE14" si="6">V11</f>
        <v>0</v>
      </c>
      <c r="AF11" s="5">
        <f t="shared" ref="AF11:AF13" si="7">U11</f>
        <v>0</v>
      </c>
      <c r="AG11" s="5">
        <f>'Cost Burden'!Z11</f>
        <v>10</v>
      </c>
      <c r="AH11" s="5">
        <f t="shared" ref="AH11:AH13" si="8">SUM(W11:Y11)</f>
        <v>4</v>
      </c>
      <c r="AI11" s="5">
        <f t="shared" ref="AI11:AI13" si="9">SUM(U11:Z11)</f>
        <v>14</v>
      </c>
      <c r="AJ11" s="5">
        <f t="shared" ref="AJ11:AJ13" si="10">T11</f>
        <v>35</v>
      </c>
      <c r="AK11" s="5">
        <f t="shared" ref="AK11:AK13" si="11">SUM(AJ11,AE11:AH11)</f>
        <v>49</v>
      </c>
      <c r="AQ11" s="31"/>
      <c r="BC11" s="41"/>
      <c r="BH11" s="197"/>
    </row>
    <row r="12" spans="3:66">
      <c r="C12" s="117" t="str">
        <f>S31</f>
        <v>Cost-Burdened (30-50%)</v>
      </c>
      <c r="D12" s="118"/>
      <c r="E12" s="118"/>
      <c r="F12" s="214">
        <f t="shared" ref="F12:L14" si="12">T31</f>
        <v>20</v>
      </c>
      <c r="G12" s="214">
        <f t="shared" si="12"/>
        <v>0</v>
      </c>
      <c r="H12" s="214">
        <f t="shared" si="12"/>
        <v>0</v>
      </c>
      <c r="I12" s="214">
        <f t="shared" si="12"/>
        <v>4</v>
      </c>
      <c r="J12" s="214">
        <f t="shared" si="12"/>
        <v>0</v>
      </c>
      <c r="K12" s="214">
        <f t="shared" si="12"/>
        <v>0</v>
      </c>
      <c r="L12" s="214">
        <f t="shared" si="12"/>
        <v>10</v>
      </c>
      <c r="M12" s="214">
        <f t="shared" si="5"/>
        <v>34</v>
      </c>
      <c r="S12" s="33" t="s">
        <v>1982</v>
      </c>
      <c r="T12" s="5">
        <f t="shared" si="1"/>
        <v>35</v>
      </c>
      <c r="U12" s="5">
        <f t="shared" si="1"/>
        <v>0</v>
      </c>
      <c r="V12" s="5">
        <f t="shared" si="1"/>
        <v>0</v>
      </c>
      <c r="W12" s="5">
        <f t="shared" si="1"/>
        <v>0</v>
      </c>
      <c r="X12" s="5">
        <f t="shared" si="1"/>
        <v>0</v>
      </c>
      <c r="Y12" s="5">
        <f t="shared" si="1"/>
        <v>0</v>
      </c>
      <c r="Z12" s="5">
        <f t="shared" si="1"/>
        <v>4</v>
      </c>
      <c r="AA12" s="5">
        <f t="shared" si="1"/>
        <v>39</v>
      </c>
      <c r="AB12" s="5"/>
      <c r="AC12" s="5"/>
      <c r="AD12" s="33" t="s">
        <v>1982</v>
      </c>
      <c r="AE12" s="5">
        <f t="shared" si="6"/>
        <v>0</v>
      </c>
      <c r="AF12" s="5">
        <f t="shared" si="7"/>
        <v>0</v>
      </c>
      <c r="AG12" s="5">
        <f>'Cost Burden'!Z12</f>
        <v>4</v>
      </c>
      <c r="AH12" s="5">
        <f t="shared" si="8"/>
        <v>0</v>
      </c>
      <c r="AI12" s="5">
        <f t="shared" si="9"/>
        <v>4</v>
      </c>
      <c r="AJ12" s="5">
        <f t="shared" si="10"/>
        <v>35</v>
      </c>
      <c r="AK12" s="5">
        <f t="shared" si="11"/>
        <v>39</v>
      </c>
      <c r="AQ12" s="31"/>
      <c r="BC12" s="41"/>
      <c r="BG12" s="322" t="s">
        <v>1981</v>
      </c>
      <c r="BH12" s="322"/>
      <c r="BI12" s="322"/>
    </row>
    <row r="13" spans="3:66">
      <c r="C13" s="117" t="str">
        <f>S32</f>
        <v>Severely Cost-Burdened (&gt;50%)</v>
      </c>
      <c r="D13" s="118"/>
      <c r="E13" s="118"/>
      <c r="F13" s="214">
        <f t="shared" si="12"/>
        <v>35</v>
      </c>
      <c r="G13" s="214">
        <f t="shared" si="12"/>
        <v>0</v>
      </c>
      <c r="H13" s="214">
        <f t="shared" si="12"/>
        <v>0</v>
      </c>
      <c r="I13" s="214">
        <f t="shared" si="12"/>
        <v>0</v>
      </c>
      <c r="J13" s="214">
        <f t="shared" si="12"/>
        <v>0</v>
      </c>
      <c r="K13" s="214">
        <f t="shared" si="12"/>
        <v>0</v>
      </c>
      <c r="L13" s="214">
        <f t="shared" si="12"/>
        <v>4</v>
      </c>
      <c r="M13" s="214">
        <f t="shared" si="5"/>
        <v>39</v>
      </c>
      <c r="S13" s="33" t="s">
        <v>13</v>
      </c>
      <c r="T13" s="5">
        <f t="shared" si="1"/>
        <v>8</v>
      </c>
      <c r="U13" s="5">
        <f t="shared" si="1"/>
        <v>0</v>
      </c>
      <c r="V13" s="5">
        <f t="shared" si="1"/>
        <v>0</v>
      </c>
      <c r="W13" s="5">
        <f t="shared" si="1"/>
        <v>0</v>
      </c>
      <c r="X13" s="5">
        <f t="shared" si="1"/>
        <v>0</v>
      </c>
      <c r="Y13" s="5">
        <f t="shared" si="1"/>
        <v>0</v>
      </c>
      <c r="Z13" s="5">
        <f t="shared" si="1"/>
        <v>4</v>
      </c>
      <c r="AA13" s="5">
        <f t="shared" si="1"/>
        <v>12</v>
      </c>
      <c r="AB13" s="5"/>
      <c r="AC13" s="5"/>
      <c r="AD13" s="33" t="s">
        <v>13</v>
      </c>
      <c r="AE13" s="5">
        <f t="shared" si="6"/>
        <v>0</v>
      </c>
      <c r="AF13" s="5">
        <f t="shared" si="7"/>
        <v>0</v>
      </c>
      <c r="AG13" s="5">
        <f>'Cost Burden'!Z13</f>
        <v>4</v>
      </c>
      <c r="AH13" s="5">
        <f t="shared" si="8"/>
        <v>0</v>
      </c>
      <c r="AI13" s="5">
        <f t="shared" si="9"/>
        <v>4</v>
      </c>
      <c r="AJ13" s="5">
        <f t="shared" si="10"/>
        <v>8</v>
      </c>
      <c r="AK13" s="5">
        <f t="shared" si="11"/>
        <v>12</v>
      </c>
      <c r="BC13" s="41"/>
      <c r="BG13" s="322"/>
      <c r="BH13" s="322"/>
      <c r="BI13" s="322"/>
    </row>
    <row r="14" spans="3:66" ht="15">
      <c r="C14" s="69" t="str">
        <f>S33</f>
        <v>Not Calculated</v>
      </c>
      <c r="D14" s="29"/>
      <c r="E14" s="29"/>
      <c r="F14" s="103">
        <f t="shared" si="12"/>
        <v>4</v>
      </c>
      <c r="G14" s="103">
        <f t="shared" si="12"/>
        <v>0</v>
      </c>
      <c r="H14" s="103">
        <f t="shared" si="12"/>
        <v>0</v>
      </c>
      <c r="I14" s="103">
        <f t="shared" si="12"/>
        <v>0</v>
      </c>
      <c r="J14" s="103">
        <f t="shared" si="12"/>
        <v>0</v>
      </c>
      <c r="K14" s="103">
        <f t="shared" si="12"/>
        <v>0</v>
      </c>
      <c r="L14" s="103">
        <f t="shared" si="12"/>
        <v>4</v>
      </c>
      <c r="M14" s="103">
        <f t="shared" si="5"/>
        <v>8</v>
      </c>
      <c r="S14" s="33" t="s">
        <v>1</v>
      </c>
      <c r="T14" s="37">
        <f t="shared" ref="T14:Z14" si="13">SUM(T10:T13)</f>
        <v>288</v>
      </c>
      <c r="U14" s="37">
        <f t="shared" si="13"/>
        <v>0</v>
      </c>
      <c r="V14" s="37">
        <f t="shared" si="13"/>
        <v>0</v>
      </c>
      <c r="W14" s="37">
        <f t="shared" si="13"/>
        <v>4</v>
      </c>
      <c r="X14" s="37">
        <f t="shared" si="13"/>
        <v>0</v>
      </c>
      <c r="Y14" s="37">
        <f t="shared" si="13"/>
        <v>15</v>
      </c>
      <c r="Z14" s="37">
        <f t="shared" si="13"/>
        <v>98</v>
      </c>
      <c r="AA14" s="37">
        <f>AA34+AA54</f>
        <v>409</v>
      </c>
      <c r="AB14" s="5"/>
      <c r="AC14" s="5"/>
      <c r="AD14" s="34" t="s">
        <v>1</v>
      </c>
      <c r="AE14" s="37">
        <f t="shared" si="6"/>
        <v>0</v>
      </c>
      <c r="AF14" s="37">
        <f t="shared" ref="AF14" si="14">U14</f>
        <v>0</v>
      </c>
      <c r="AG14" s="37">
        <f>'Cost Burden'!Z14</f>
        <v>98</v>
      </c>
      <c r="AH14" s="37">
        <f t="shared" ref="AH14" si="15">SUM(W14:Y14)</f>
        <v>19</v>
      </c>
      <c r="AI14" s="37">
        <f t="shared" ref="AI14" si="16">SUM(U14:Z14)</f>
        <v>117</v>
      </c>
      <c r="AJ14" s="37">
        <f t="shared" ref="AJ14" si="17">T14</f>
        <v>288</v>
      </c>
      <c r="AK14" s="58">
        <f>AA14</f>
        <v>409</v>
      </c>
      <c r="BC14" s="41"/>
      <c r="BH14" s="196"/>
    </row>
    <row r="15" spans="3:66" ht="15">
      <c r="C15" s="29"/>
      <c r="D15" s="29"/>
      <c r="E15" s="75" t="str">
        <f>S14</f>
        <v>Total</v>
      </c>
      <c r="F15" s="104">
        <f>T34</f>
        <v>225</v>
      </c>
      <c r="G15" s="104">
        <f t="shared" ref="G15:L15" si="18">U34</f>
        <v>0</v>
      </c>
      <c r="H15" s="104">
        <f t="shared" si="18"/>
        <v>0</v>
      </c>
      <c r="I15" s="104">
        <f t="shared" si="18"/>
        <v>4</v>
      </c>
      <c r="J15" s="104">
        <f t="shared" si="18"/>
        <v>0</v>
      </c>
      <c r="K15" s="104">
        <f t="shared" si="18"/>
        <v>15</v>
      </c>
      <c r="L15" s="104">
        <f t="shared" si="18"/>
        <v>40</v>
      </c>
      <c r="M15" s="104">
        <f>SUM(F15:L15)</f>
        <v>284</v>
      </c>
      <c r="S15" s="114" t="s">
        <v>2773</v>
      </c>
      <c r="T15" s="114">
        <f>T14-SUM(T10:T13)</f>
        <v>0</v>
      </c>
      <c r="U15" s="114">
        <f t="shared" ref="U15:Z15" si="19">U14-SUM(U10:U13)</f>
        <v>0</v>
      </c>
      <c r="V15" s="114">
        <f t="shared" si="19"/>
        <v>0</v>
      </c>
      <c r="W15" s="114">
        <f t="shared" si="19"/>
        <v>0</v>
      </c>
      <c r="X15" s="114">
        <f t="shared" si="19"/>
        <v>0</v>
      </c>
      <c r="Y15" s="114">
        <f t="shared" si="19"/>
        <v>0</v>
      </c>
      <c r="Z15" s="114">
        <f t="shared" si="19"/>
        <v>0</v>
      </c>
      <c r="AA15" s="5"/>
      <c r="AB15" s="5"/>
      <c r="AC15" s="37"/>
      <c r="BC15" s="41"/>
      <c r="BG15" s="322" t="s">
        <v>1982</v>
      </c>
      <c r="BH15" s="322"/>
      <c r="BI15" s="322"/>
    </row>
    <row r="16" spans="3:66">
      <c r="C16" s="79" t="s">
        <v>2668</v>
      </c>
      <c r="D16" s="79"/>
      <c r="E16" s="79"/>
      <c r="F16" s="105"/>
      <c r="G16" s="105"/>
      <c r="H16" s="105"/>
      <c r="I16" s="105"/>
      <c r="J16" s="105"/>
      <c r="K16" s="105"/>
      <c r="L16" s="105"/>
      <c r="M16" s="105"/>
      <c r="S16" s="114" t="s">
        <v>2364</v>
      </c>
      <c r="T16" s="114">
        <f t="shared" ref="T16:Z16" si="20">T37+T56</f>
        <v>15</v>
      </c>
      <c r="U16" s="114">
        <f t="shared" si="20"/>
        <v>0</v>
      </c>
      <c r="V16" s="114">
        <f t="shared" si="20"/>
        <v>0</v>
      </c>
      <c r="W16" s="114">
        <f t="shared" si="20"/>
        <v>0</v>
      </c>
      <c r="X16" s="114">
        <f t="shared" si="20"/>
        <v>0</v>
      </c>
      <c r="Y16" s="114">
        <f t="shared" si="20"/>
        <v>0</v>
      </c>
      <c r="Z16" s="114">
        <f t="shared" si="20"/>
        <v>0</v>
      </c>
      <c r="AA16" s="5"/>
      <c r="AB16" s="5"/>
      <c r="AC16" s="5"/>
      <c r="AD16" s="114" t="s">
        <v>2364</v>
      </c>
      <c r="AE16" s="114">
        <f>V16</f>
        <v>0</v>
      </c>
      <c r="AF16" s="114">
        <f>U16</f>
        <v>0</v>
      </c>
      <c r="AG16" s="114">
        <f>'Cost Burden'!Z16</f>
        <v>0</v>
      </c>
      <c r="AH16" s="114">
        <f>SUM(W16:Y16)</f>
        <v>0</v>
      </c>
      <c r="AI16" s="114">
        <f>SUM(U16:Z16)</f>
        <v>0</v>
      </c>
      <c r="AJ16" s="114">
        <f>T16</f>
        <v>15</v>
      </c>
      <c r="AK16" s="114">
        <f>SUM(AJ16,AE16:AH16)</f>
        <v>15</v>
      </c>
      <c r="BC16" s="41"/>
      <c r="BG16" s="322"/>
      <c r="BH16" s="322"/>
      <c r="BI16" s="322"/>
    </row>
    <row r="17" spans="3:55">
      <c r="C17" s="69" t="str">
        <f>S50</f>
        <v>Not Cost Burdened</v>
      </c>
      <c r="D17" s="29"/>
      <c r="E17" s="29"/>
      <c r="F17" s="102">
        <f t="shared" ref="F17:L17" si="21">T50</f>
        <v>45</v>
      </c>
      <c r="G17" s="102">
        <f t="shared" si="21"/>
        <v>0</v>
      </c>
      <c r="H17" s="102">
        <f t="shared" si="21"/>
        <v>0</v>
      </c>
      <c r="I17" s="102">
        <f t="shared" si="21"/>
        <v>0</v>
      </c>
      <c r="J17" s="102">
        <f t="shared" si="21"/>
        <v>0</v>
      </c>
      <c r="K17" s="102">
        <f t="shared" si="21"/>
        <v>0</v>
      </c>
      <c r="L17" s="102">
        <f t="shared" si="21"/>
        <v>65</v>
      </c>
      <c r="M17" s="102">
        <f>SUM(F17:L17)</f>
        <v>110</v>
      </c>
      <c r="S17" s="5"/>
      <c r="T17" s="5"/>
      <c r="U17" s="5"/>
      <c r="V17" s="5"/>
      <c r="W17" s="5"/>
      <c r="X17" s="5"/>
      <c r="Y17" s="5"/>
      <c r="Z17" s="5"/>
      <c r="AA17" s="5"/>
      <c r="AB17" s="5"/>
      <c r="AC17" s="5"/>
      <c r="AD17" s="5"/>
      <c r="AE17" s="5"/>
      <c r="AF17" s="5"/>
      <c r="AG17" s="5"/>
      <c r="AH17" s="5"/>
      <c r="AI17" s="5"/>
      <c r="AJ17" s="5"/>
      <c r="AK17" s="5"/>
      <c r="BC17" s="41"/>
    </row>
    <row r="18" spans="3:55" ht="15">
      <c r="C18" s="69" t="str">
        <f>S56</f>
        <v>Total Cost-Burdened</v>
      </c>
      <c r="D18" s="29"/>
      <c r="E18" s="29"/>
      <c r="F18" s="102">
        <f t="shared" ref="F18:L18" si="22">T56</f>
        <v>15</v>
      </c>
      <c r="G18" s="102">
        <f t="shared" si="22"/>
        <v>0</v>
      </c>
      <c r="H18" s="102">
        <f t="shared" si="22"/>
        <v>0</v>
      </c>
      <c r="I18" s="102">
        <f t="shared" si="22"/>
        <v>0</v>
      </c>
      <c r="J18" s="102">
        <f t="shared" si="22"/>
        <v>0</v>
      </c>
      <c r="K18" s="102">
        <f t="shared" si="22"/>
        <v>0</v>
      </c>
      <c r="L18" s="102">
        <f t="shared" si="22"/>
        <v>0</v>
      </c>
      <c r="M18" s="102">
        <f t="shared" ref="M18:M21" si="23">SUM(F18:L18)</f>
        <v>15</v>
      </c>
      <c r="S18" s="54" t="s">
        <v>5</v>
      </c>
      <c r="T18" s="55"/>
      <c r="U18" s="55"/>
      <c r="V18" s="55"/>
      <c r="W18" s="55"/>
      <c r="X18" s="55"/>
      <c r="Y18" s="55"/>
      <c r="Z18" s="55"/>
      <c r="AA18" s="5"/>
      <c r="AB18" s="5"/>
      <c r="AC18" s="5"/>
      <c r="AD18" s="54" t="s">
        <v>5</v>
      </c>
      <c r="AE18" s="54"/>
      <c r="AF18" s="54"/>
      <c r="AG18" s="54"/>
      <c r="AH18" s="54"/>
      <c r="AI18" s="54"/>
      <c r="AJ18" s="54"/>
      <c r="AK18" s="54"/>
      <c r="BC18" s="41"/>
    </row>
    <row r="19" spans="3:55" ht="14.25" customHeight="1">
      <c r="C19" s="117" t="str">
        <f>S51</f>
        <v>Cost-Burdened (30-50%)</v>
      </c>
      <c r="D19" s="120"/>
      <c r="E19" s="118"/>
      <c r="F19" s="119">
        <f t="shared" ref="F19:L21" si="24">T51</f>
        <v>15</v>
      </c>
      <c r="G19" s="119">
        <f t="shared" si="24"/>
        <v>0</v>
      </c>
      <c r="H19" s="119">
        <f t="shared" si="24"/>
        <v>0</v>
      </c>
      <c r="I19" s="119">
        <f t="shared" si="24"/>
        <v>0</v>
      </c>
      <c r="J19" s="119">
        <f t="shared" si="24"/>
        <v>0</v>
      </c>
      <c r="K19" s="119">
        <f t="shared" si="24"/>
        <v>0</v>
      </c>
      <c r="L19" s="119">
        <f t="shared" si="24"/>
        <v>0</v>
      </c>
      <c r="M19" s="102">
        <f t="shared" si="23"/>
        <v>15</v>
      </c>
      <c r="S19" s="5"/>
      <c r="T19" s="5"/>
      <c r="U19" s="5"/>
      <c r="V19" s="5"/>
      <c r="W19" s="5"/>
      <c r="X19" s="5"/>
      <c r="Y19" s="5"/>
      <c r="Z19" s="5"/>
      <c r="AA19" s="5"/>
      <c r="AB19" s="5"/>
      <c r="AC19" s="5"/>
      <c r="AE19" s="309" t="s">
        <v>2666</v>
      </c>
      <c r="AF19" s="310" t="s">
        <v>2673</v>
      </c>
      <c r="AG19" s="311" t="s">
        <v>2790</v>
      </c>
      <c r="AH19" s="309" t="s">
        <v>2723</v>
      </c>
      <c r="AI19" s="308" t="s">
        <v>2722</v>
      </c>
      <c r="AJ19" s="308" t="s">
        <v>2672</v>
      </c>
      <c r="AK19" s="309" t="s">
        <v>1</v>
      </c>
      <c r="BC19" s="41"/>
    </row>
    <row r="20" spans="3:55" ht="15" customHeight="1">
      <c r="C20" s="117" t="str">
        <f>S52</f>
        <v>Severely Cost-Burdened (&gt;50%)</v>
      </c>
      <c r="D20" s="120"/>
      <c r="E20" s="118"/>
      <c r="F20" s="119">
        <f t="shared" si="24"/>
        <v>0</v>
      </c>
      <c r="G20" s="119">
        <f t="shared" si="24"/>
        <v>0</v>
      </c>
      <c r="H20" s="119">
        <f t="shared" si="24"/>
        <v>0</v>
      </c>
      <c r="I20" s="119">
        <f t="shared" si="24"/>
        <v>0</v>
      </c>
      <c r="J20" s="119">
        <f t="shared" si="24"/>
        <v>0</v>
      </c>
      <c r="K20" s="119">
        <f t="shared" si="24"/>
        <v>0</v>
      </c>
      <c r="L20" s="119">
        <f t="shared" si="24"/>
        <v>0</v>
      </c>
      <c r="M20" s="102">
        <f t="shared" si="23"/>
        <v>0</v>
      </c>
      <c r="R20" s="98"/>
      <c r="T20" s="57" t="s">
        <v>2637</v>
      </c>
      <c r="U20" s="57" t="s">
        <v>2637</v>
      </c>
      <c r="V20" s="57" t="s">
        <v>2637</v>
      </c>
      <c r="W20" s="57" t="s">
        <v>2637</v>
      </c>
      <c r="X20" s="57" t="s">
        <v>2637</v>
      </c>
      <c r="Y20" s="57" t="s">
        <v>2637</v>
      </c>
      <c r="Z20" s="57" t="s">
        <v>2637</v>
      </c>
      <c r="AA20" s="5"/>
      <c r="AB20" s="5"/>
      <c r="AC20" s="5"/>
      <c r="AD20" s="5"/>
      <c r="AE20" s="309"/>
      <c r="AF20" s="310"/>
      <c r="AG20" s="311"/>
      <c r="AH20" s="309"/>
      <c r="AI20" s="308"/>
      <c r="AJ20" s="308"/>
      <c r="AK20" s="309"/>
      <c r="AQ20" s="31"/>
      <c r="BC20" s="41"/>
    </row>
    <row r="21" spans="3:55" ht="14.25" customHeight="1">
      <c r="C21" s="69" t="str">
        <f>S53</f>
        <v>Not Calculated</v>
      </c>
      <c r="D21" s="29"/>
      <c r="E21" s="29"/>
      <c r="F21" s="103">
        <f t="shared" si="24"/>
        <v>4</v>
      </c>
      <c r="G21" s="103">
        <f t="shared" si="24"/>
        <v>0</v>
      </c>
      <c r="H21" s="103">
        <f t="shared" si="24"/>
        <v>0</v>
      </c>
      <c r="I21" s="103">
        <f t="shared" si="24"/>
        <v>0</v>
      </c>
      <c r="J21" s="103">
        <f t="shared" si="24"/>
        <v>0</v>
      </c>
      <c r="K21" s="103">
        <f t="shared" si="24"/>
        <v>0</v>
      </c>
      <c r="L21" s="103">
        <f t="shared" si="24"/>
        <v>0</v>
      </c>
      <c r="M21" s="103">
        <f t="shared" si="23"/>
        <v>4</v>
      </c>
      <c r="T21" t="s">
        <v>2672</v>
      </c>
      <c r="U21" t="s">
        <v>2719</v>
      </c>
      <c r="V21" t="s">
        <v>2666</v>
      </c>
      <c r="W21" t="s">
        <v>2735</v>
      </c>
      <c r="X21" t="s">
        <v>2721</v>
      </c>
      <c r="Y21" t="s">
        <v>2723</v>
      </c>
      <c r="Z21" t="s">
        <v>2790</v>
      </c>
      <c r="AA21" s="5"/>
      <c r="AB21" s="5"/>
      <c r="AC21" s="5"/>
      <c r="AD21" s="5"/>
      <c r="AE21" s="309"/>
      <c r="AF21" s="310"/>
      <c r="AG21" s="311"/>
      <c r="AH21" s="309"/>
      <c r="AI21" s="308"/>
      <c r="AJ21" s="308"/>
      <c r="AK21" s="309"/>
      <c r="AQ21" s="31"/>
      <c r="BC21" s="41"/>
    </row>
    <row r="22" spans="3:55" ht="14.25" customHeight="1">
      <c r="C22" s="71"/>
      <c r="D22" s="70"/>
      <c r="E22" s="76" t="s">
        <v>1</v>
      </c>
      <c r="F22" s="106">
        <f>T54</f>
        <v>60</v>
      </c>
      <c r="G22" s="106">
        <f t="shared" ref="G22:L22" si="25">U54</f>
        <v>0</v>
      </c>
      <c r="H22" s="106">
        <f t="shared" si="25"/>
        <v>0</v>
      </c>
      <c r="I22" s="106">
        <f t="shared" si="25"/>
        <v>0</v>
      </c>
      <c r="J22" s="106">
        <f t="shared" si="25"/>
        <v>0</v>
      </c>
      <c r="K22" s="106">
        <f t="shared" si="25"/>
        <v>0</v>
      </c>
      <c r="L22" s="106">
        <f t="shared" si="25"/>
        <v>65</v>
      </c>
      <c r="M22" s="104">
        <f>SUM(F22:L22)</f>
        <v>125</v>
      </c>
      <c r="S22" s="33" t="s">
        <v>12</v>
      </c>
      <c r="T22" s="96" t="s">
        <v>2238</v>
      </c>
      <c r="U22" s="96" t="s">
        <v>2243</v>
      </c>
      <c r="V22" s="96" t="s">
        <v>2248</v>
      </c>
      <c r="W22" s="96" t="s">
        <v>2253</v>
      </c>
      <c r="X22" s="96" t="s">
        <v>2258</v>
      </c>
      <c r="Y22" s="96" t="s">
        <v>2268</v>
      </c>
      <c r="Z22" s="96" t="s">
        <v>2263</v>
      </c>
      <c r="AA22" s="5"/>
      <c r="AB22" s="5"/>
      <c r="AC22" s="5"/>
      <c r="AD22" s="33" t="s">
        <v>12</v>
      </c>
      <c r="AE22" s="5">
        <f>V30</f>
        <v>0</v>
      </c>
      <c r="AF22" s="5">
        <f>U30</f>
        <v>0</v>
      </c>
      <c r="AG22" s="5">
        <f>'Cost Burden'!Z30</f>
        <v>15</v>
      </c>
      <c r="AH22" s="5">
        <f>SUM(W30:Y30)</f>
        <v>15</v>
      </c>
      <c r="AI22" s="5">
        <f>SUM(U30:Z30)</f>
        <v>30</v>
      </c>
      <c r="AJ22" s="5">
        <f>T30</f>
        <v>165</v>
      </c>
      <c r="AK22" s="5">
        <f>AA30</f>
        <v>195</v>
      </c>
      <c r="AQ22" s="31"/>
      <c r="BC22" s="41"/>
    </row>
    <row r="23" spans="3:55" ht="14.25" customHeight="1" thickBot="1">
      <c r="C23" s="77"/>
      <c r="D23" s="77"/>
      <c r="E23" s="78" t="s">
        <v>2709</v>
      </c>
      <c r="F23" s="107">
        <f>SUM(F15,F22)</f>
        <v>285</v>
      </c>
      <c r="G23" s="107">
        <f t="shared" ref="G23:M23" si="26">SUM(G15,G22)</f>
        <v>0</v>
      </c>
      <c r="H23" s="107">
        <f t="shared" si="26"/>
        <v>0</v>
      </c>
      <c r="I23" s="107">
        <f t="shared" si="26"/>
        <v>4</v>
      </c>
      <c r="J23" s="107">
        <f t="shared" si="26"/>
        <v>0</v>
      </c>
      <c r="K23" s="107">
        <f t="shared" si="26"/>
        <v>15</v>
      </c>
      <c r="L23" s="107">
        <f t="shared" si="26"/>
        <v>105</v>
      </c>
      <c r="M23" s="107">
        <f t="shared" si="26"/>
        <v>409</v>
      </c>
      <c r="S23" s="33" t="s">
        <v>1981</v>
      </c>
      <c r="T23" s="96" t="s">
        <v>2239</v>
      </c>
      <c r="U23" s="96" t="s">
        <v>2244</v>
      </c>
      <c r="V23" s="96" t="s">
        <v>2249</v>
      </c>
      <c r="W23" s="96" t="s">
        <v>2254</v>
      </c>
      <c r="X23" s="96" t="s">
        <v>2259</v>
      </c>
      <c r="Y23" s="96" t="s">
        <v>2269</v>
      </c>
      <c r="Z23" s="96" t="s">
        <v>2264</v>
      </c>
      <c r="AA23" s="5"/>
      <c r="AB23" s="5"/>
      <c r="AC23" s="5"/>
      <c r="AD23" s="33" t="s">
        <v>1981</v>
      </c>
      <c r="AE23" s="5">
        <f t="shared" ref="AE23:AE26" si="27">V31</f>
        <v>0</v>
      </c>
      <c r="AF23" s="5">
        <f t="shared" ref="AF23:AF26" si="28">U31</f>
        <v>0</v>
      </c>
      <c r="AG23" s="5">
        <f>'Cost Burden'!Z31</f>
        <v>10</v>
      </c>
      <c r="AH23" s="5">
        <f t="shared" ref="AH23:AH26" si="29">SUM(W31:Y31)</f>
        <v>4</v>
      </c>
      <c r="AI23" s="5">
        <f t="shared" ref="AI23:AI26" si="30">SUM(U31:Z31)</f>
        <v>14</v>
      </c>
      <c r="AJ23" s="5">
        <f t="shared" ref="AJ23:AJ26" si="31">T31</f>
        <v>20</v>
      </c>
      <c r="AK23" s="5">
        <f t="shared" ref="AK23:AK25" si="32">AA31</f>
        <v>34</v>
      </c>
      <c r="BC23" s="41"/>
    </row>
    <row r="24" spans="3:55">
      <c r="S24" s="33" t="s">
        <v>1982</v>
      </c>
      <c r="T24" s="96" t="s">
        <v>2240</v>
      </c>
      <c r="U24" s="96" t="s">
        <v>2245</v>
      </c>
      <c r="V24" s="96" t="s">
        <v>2250</v>
      </c>
      <c r="W24" s="96" t="s">
        <v>2255</v>
      </c>
      <c r="X24" s="96" t="s">
        <v>2260</v>
      </c>
      <c r="Y24" s="96" t="s">
        <v>2270</v>
      </c>
      <c r="Z24" s="96" t="s">
        <v>2265</v>
      </c>
      <c r="AA24" s="5"/>
      <c r="AB24" s="5"/>
      <c r="AC24" s="5"/>
      <c r="AD24" s="33" t="s">
        <v>1982</v>
      </c>
      <c r="AE24" s="5">
        <f t="shared" si="27"/>
        <v>0</v>
      </c>
      <c r="AF24" s="5">
        <f t="shared" si="28"/>
        <v>0</v>
      </c>
      <c r="AG24" s="5">
        <f>'Cost Burden'!Z32</f>
        <v>4</v>
      </c>
      <c r="AH24" s="5">
        <f t="shared" si="29"/>
        <v>0</v>
      </c>
      <c r="AI24" s="5">
        <f t="shared" si="30"/>
        <v>4</v>
      </c>
      <c r="AJ24" s="5">
        <f t="shared" si="31"/>
        <v>35</v>
      </c>
      <c r="AK24" s="5">
        <f t="shared" si="32"/>
        <v>39</v>
      </c>
      <c r="BC24" s="41"/>
    </row>
    <row r="25" spans="3:55">
      <c r="C25" s="302" t="s">
        <v>2711</v>
      </c>
      <c r="D25" s="302"/>
      <c r="E25" s="302"/>
      <c r="F25" s="302"/>
      <c r="G25" s="302"/>
      <c r="H25" s="302"/>
      <c r="I25" s="302"/>
      <c r="J25" s="302"/>
      <c r="K25" s="302"/>
      <c r="S25" s="33" t="s">
        <v>13</v>
      </c>
      <c r="T25" s="96" t="s">
        <v>2241</v>
      </c>
      <c r="U25" s="96" t="s">
        <v>2246</v>
      </c>
      <c r="V25" s="96" t="s">
        <v>2251</v>
      </c>
      <c r="W25" s="96" t="s">
        <v>2256</v>
      </c>
      <c r="X25" s="96" t="s">
        <v>2261</v>
      </c>
      <c r="Y25" s="96" t="s">
        <v>2271</v>
      </c>
      <c r="Z25" s="96" t="s">
        <v>2266</v>
      </c>
      <c r="AA25" s="5"/>
      <c r="AB25" s="5"/>
      <c r="AC25" s="5"/>
      <c r="AD25" s="33" t="s">
        <v>13</v>
      </c>
      <c r="AE25" s="5">
        <f t="shared" si="27"/>
        <v>0</v>
      </c>
      <c r="AF25" s="5">
        <f t="shared" si="28"/>
        <v>0</v>
      </c>
      <c r="AG25" s="5">
        <f>'Cost Burden'!Z33</f>
        <v>4</v>
      </c>
      <c r="AH25" s="5">
        <f t="shared" si="29"/>
        <v>0</v>
      </c>
      <c r="AI25" s="5">
        <f t="shared" si="30"/>
        <v>4</v>
      </c>
      <c r="AJ25" s="5">
        <f t="shared" si="31"/>
        <v>4</v>
      </c>
      <c r="AK25" s="5">
        <f t="shared" si="32"/>
        <v>8</v>
      </c>
      <c r="BC25" s="41"/>
    </row>
    <row r="26" spans="3:55" ht="15">
      <c r="C26" s="302"/>
      <c r="D26" s="302"/>
      <c r="E26" s="302"/>
      <c r="F26" s="302"/>
      <c r="G26" s="302"/>
      <c r="H26" s="302"/>
      <c r="I26" s="302"/>
      <c r="J26" s="302"/>
      <c r="K26" s="302"/>
      <c r="S26" s="33" t="s">
        <v>2</v>
      </c>
      <c r="T26" s="96" t="s">
        <v>2237</v>
      </c>
      <c r="U26" s="96" t="s">
        <v>2242</v>
      </c>
      <c r="V26" s="96" t="s">
        <v>2247</v>
      </c>
      <c r="W26" s="96" t="s">
        <v>2252</v>
      </c>
      <c r="X26" s="96" t="s">
        <v>2257</v>
      </c>
      <c r="Y26" s="96" t="s">
        <v>2267</v>
      </c>
      <c r="Z26" s="96" t="s">
        <v>2262</v>
      </c>
      <c r="AA26" s="5"/>
      <c r="AB26" s="5"/>
      <c r="AC26" s="5"/>
      <c r="AD26" s="34" t="s">
        <v>1</v>
      </c>
      <c r="AE26" s="37">
        <f t="shared" si="27"/>
        <v>0</v>
      </c>
      <c r="AF26" s="37">
        <f t="shared" si="28"/>
        <v>0</v>
      </c>
      <c r="AG26" s="37">
        <f>'Cost Burden'!Z34</f>
        <v>40</v>
      </c>
      <c r="AH26" s="37">
        <f t="shared" si="29"/>
        <v>19</v>
      </c>
      <c r="AI26" s="37">
        <f t="shared" si="30"/>
        <v>59</v>
      </c>
      <c r="AJ26" s="37">
        <f t="shared" si="31"/>
        <v>225</v>
      </c>
      <c r="AK26" s="37">
        <f>SUM(AJ26,AE26:AH26)</f>
        <v>284</v>
      </c>
    </row>
    <row r="27" spans="3:55" ht="9" customHeight="1">
      <c r="AA27" s="5"/>
      <c r="AB27" s="5"/>
      <c r="AC27" s="37"/>
    </row>
    <row r="28" spans="3:55">
      <c r="AA28" s="5"/>
      <c r="AB28" s="5"/>
      <c r="AC28" s="5"/>
      <c r="AD28" s="5"/>
      <c r="AE28" s="5"/>
      <c r="AF28" s="5"/>
      <c r="AG28" s="5"/>
      <c r="AH28" s="5"/>
      <c r="AI28" s="5"/>
      <c r="AJ28" s="5"/>
      <c r="AK28" s="5"/>
    </row>
    <row r="29" spans="3:55" ht="19.5" customHeight="1">
      <c r="C29" s="303" t="str">
        <f>"Chart 4. "&amp;City_label&amp;" total housing cost burden by racial and ethnic group, 2019"</f>
        <v>Chart 4. Entiat total housing cost burden by racial and ethnic group, 2019</v>
      </c>
      <c r="D29" s="303"/>
      <c r="E29" s="303"/>
      <c r="F29" s="303"/>
      <c r="G29" s="303"/>
      <c r="H29" s="303"/>
      <c r="I29" s="303"/>
      <c r="J29" s="303"/>
      <c r="K29" s="303"/>
      <c r="L29" s="303"/>
      <c r="M29" s="303"/>
      <c r="S29" s="5"/>
      <c r="T29" s="34" t="s">
        <v>2672</v>
      </c>
      <c r="U29" s="34" t="s">
        <v>2673</v>
      </c>
      <c r="V29" s="34" t="s">
        <v>2666</v>
      </c>
      <c r="W29" s="34" t="s">
        <v>2720</v>
      </c>
      <c r="X29" s="34" t="s">
        <v>2721</v>
      </c>
      <c r="Y29" s="34" t="s">
        <v>2706</v>
      </c>
      <c r="Z29" s="34" t="s">
        <v>2790</v>
      </c>
      <c r="AA29" s="5" t="s">
        <v>2</v>
      </c>
      <c r="AB29" s="5"/>
      <c r="AC29" s="5"/>
      <c r="AD29" s="54" t="s">
        <v>4</v>
      </c>
      <c r="AE29" s="54"/>
      <c r="AF29" s="54"/>
      <c r="AG29" s="54"/>
      <c r="AH29" s="54"/>
      <c r="AI29" s="54"/>
      <c r="AJ29" s="54"/>
      <c r="AK29" s="54"/>
    </row>
    <row r="30" spans="3:55" ht="19.5" customHeight="1">
      <c r="C30" s="303"/>
      <c r="D30" s="303"/>
      <c r="E30" s="303"/>
      <c r="F30" s="303"/>
      <c r="G30" s="303"/>
      <c r="H30" s="303"/>
      <c r="I30" s="303"/>
      <c r="J30" s="303"/>
      <c r="K30" s="303"/>
      <c r="L30" s="303"/>
      <c r="M30" s="303"/>
      <c r="S30" s="33" t="s">
        <v>12</v>
      </c>
      <c r="T30" s="1">
        <v>165</v>
      </c>
      <c r="U30" s="1">
        <v>0</v>
      </c>
      <c r="V30" s="1">
        <v>0</v>
      </c>
      <c r="W30" s="1">
        <v>0</v>
      </c>
      <c r="X30" s="1">
        <v>0</v>
      </c>
      <c r="Y30" s="1">
        <v>15</v>
      </c>
      <c r="Z30" s="1">
        <v>15</v>
      </c>
      <c r="AA30" s="5">
        <f>SUM(T30:Z30)</f>
        <v>195</v>
      </c>
      <c r="AB30" s="5"/>
      <c r="AC30" s="5"/>
      <c r="AE30" s="309" t="s">
        <v>2666</v>
      </c>
      <c r="AF30" s="310" t="s">
        <v>2673</v>
      </c>
      <c r="AG30" s="311" t="s">
        <v>2796</v>
      </c>
      <c r="AH30" s="309" t="s">
        <v>2723</v>
      </c>
      <c r="AI30" s="308" t="s">
        <v>2722</v>
      </c>
      <c r="AJ30" s="308" t="s">
        <v>2672</v>
      </c>
      <c r="AK30" s="309" t="s">
        <v>1</v>
      </c>
    </row>
    <row r="31" spans="3:55" ht="14.25" customHeight="1">
      <c r="C31" s="5"/>
      <c r="R31" s="98"/>
      <c r="S31" s="33" t="s">
        <v>1981</v>
      </c>
      <c r="T31" s="1">
        <v>20</v>
      </c>
      <c r="U31" s="1">
        <v>0</v>
      </c>
      <c r="V31" s="1">
        <v>0</v>
      </c>
      <c r="W31" s="1">
        <v>4</v>
      </c>
      <c r="X31" s="1">
        <v>0</v>
      </c>
      <c r="Y31" s="1">
        <v>0</v>
      </c>
      <c r="Z31" s="1">
        <v>10</v>
      </c>
      <c r="AA31" s="5">
        <f t="shared" ref="AA31:AA34" si="33">SUM(T31:Z31)</f>
        <v>34</v>
      </c>
      <c r="AB31" s="5"/>
      <c r="AC31" s="5"/>
      <c r="AD31" s="5"/>
      <c r="AE31" s="309"/>
      <c r="AF31" s="310"/>
      <c r="AG31" s="311"/>
      <c r="AH31" s="309"/>
      <c r="AI31" s="308"/>
      <c r="AJ31" s="308"/>
      <c r="AK31" s="309"/>
    </row>
    <row r="32" spans="3:55" ht="14.25" customHeight="1">
      <c r="C32" s="5"/>
      <c r="S32" s="33" t="s">
        <v>1982</v>
      </c>
      <c r="T32" s="1">
        <v>35</v>
      </c>
      <c r="U32" s="1">
        <v>0</v>
      </c>
      <c r="V32" s="1">
        <v>0</v>
      </c>
      <c r="W32" s="1">
        <v>0</v>
      </c>
      <c r="X32" s="1">
        <v>0</v>
      </c>
      <c r="Y32" s="1">
        <v>0</v>
      </c>
      <c r="Z32" s="1">
        <v>4</v>
      </c>
      <c r="AA32" s="5">
        <f t="shared" si="33"/>
        <v>39</v>
      </c>
      <c r="AB32" s="5"/>
      <c r="AC32" s="5"/>
      <c r="AD32" s="5"/>
      <c r="AE32" s="309"/>
      <c r="AF32" s="310"/>
      <c r="AG32" s="311"/>
      <c r="AH32" s="309"/>
      <c r="AI32" s="308"/>
      <c r="AJ32" s="308"/>
      <c r="AK32" s="309"/>
    </row>
    <row r="33" spans="3:49">
      <c r="S33" s="33" t="s">
        <v>13</v>
      </c>
      <c r="T33" s="1">
        <v>4</v>
      </c>
      <c r="U33" s="1">
        <v>0</v>
      </c>
      <c r="V33" s="1">
        <v>0</v>
      </c>
      <c r="W33" s="1">
        <v>0</v>
      </c>
      <c r="X33" s="1">
        <v>0</v>
      </c>
      <c r="Y33" s="1">
        <v>0</v>
      </c>
      <c r="Z33" s="1">
        <v>4</v>
      </c>
      <c r="AA33" s="5">
        <f t="shared" si="33"/>
        <v>8</v>
      </c>
      <c r="AB33" s="5"/>
      <c r="AC33" s="5"/>
      <c r="AD33" s="33" t="s">
        <v>12</v>
      </c>
      <c r="AE33" s="5">
        <f>V50</f>
        <v>0</v>
      </c>
      <c r="AF33" s="5">
        <f>U50</f>
        <v>0</v>
      </c>
      <c r="AG33" s="5">
        <f>'Cost Burden'!Z50</f>
        <v>65</v>
      </c>
      <c r="AH33" s="5">
        <f>SUM(W50:Y50)</f>
        <v>0</v>
      </c>
      <c r="AI33" s="5">
        <f>SUM(U50:Z50)</f>
        <v>65</v>
      </c>
      <c r="AJ33" s="5">
        <f>T50</f>
        <v>45</v>
      </c>
      <c r="AK33" s="5">
        <f t="shared" ref="AK33" si="34">SUM(AJ33,AE33:AH33)</f>
        <v>110</v>
      </c>
    </row>
    <row r="34" spans="3:49" ht="15">
      <c r="S34" s="33" t="s">
        <v>2</v>
      </c>
      <c r="T34" s="1">
        <v>225</v>
      </c>
      <c r="U34" s="1">
        <v>0</v>
      </c>
      <c r="V34" s="1">
        <v>0</v>
      </c>
      <c r="W34" s="1">
        <v>4</v>
      </c>
      <c r="X34" s="1">
        <v>0</v>
      </c>
      <c r="Y34" s="1">
        <v>15</v>
      </c>
      <c r="Z34" s="1">
        <v>40</v>
      </c>
      <c r="AA34" s="37">
        <f t="shared" si="33"/>
        <v>284</v>
      </c>
      <c r="AB34" s="5"/>
      <c r="AC34" s="5"/>
      <c r="AD34" s="33" t="s">
        <v>1981</v>
      </c>
      <c r="AE34" s="5">
        <f t="shared" ref="AE34:AE37" si="35">V51</f>
        <v>0</v>
      </c>
      <c r="AF34" s="5">
        <f t="shared" ref="AF34:AF37" si="36">U51</f>
        <v>0</v>
      </c>
      <c r="AG34" s="5">
        <f>'Cost Burden'!Z51</f>
        <v>0</v>
      </c>
      <c r="AH34" s="5">
        <f t="shared" ref="AH34:AH37" si="37">SUM(W51:Y51)</f>
        <v>0</v>
      </c>
      <c r="AI34" s="5">
        <f t="shared" ref="AI34:AI37" si="38">SUM(U51:Z51)</f>
        <v>0</v>
      </c>
      <c r="AJ34" s="5">
        <f t="shared" ref="AJ34:AJ37" si="39">T51</f>
        <v>15</v>
      </c>
      <c r="AK34" s="5">
        <f t="shared" ref="AK34:AK37" si="40">SUM(AJ34,AE34:AH34)</f>
        <v>15</v>
      </c>
    </row>
    <row r="35" spans="3:49" ht="15">
      <c r="C35" s="39"/>
      <c r="AA35" s="5"/>
      <c r="AB35" s="5"/>
      <c r="AC35" s="5"/>
      <c r="AD35" s="33" t="s">
        <v>1982</v>
      </c>
      <c r="AE35" s="5">
        <f t="shared" si="35"/>
        <v>0</v>
      </c>
      <c r="AF35" s="5">
        <f t="shared" si="36"/>
        <v>0</v>
      </c>
      <c r="AG35" s="5">
        <f>'Cost Burden'!Z52</f>
        <v>0</v>
      </c>
      <c r="AH35" s="5">
        <f t="shared" si="37"/>
        <v>0</v>
      </c>
      <c r="AI35" s="5">
        <f t="shared" si="38"/>
        <v>0</v>
      </c>
      <c r="AJ35" s="5">
        <f t="shared" si="39"/>
        <v>0</v>
      </c>
      <c r="AK35" s="5">
        <f t="shared" si="40"/>
        <v>0</v>
      </c>
    </row>
    <row r="36" spans="3:49">
      <c r="S36" s="114" t="s">
        <v>2364</v>
      </c>
      <c r="T36" s="114">
        <f>SUM(T31:T32)</f>
        <v>55</v>
      </c>
      <c r="U36" s="114">
        <f t="shared" ref="U36:Z36" si="41">SUM(U31:U32)</f>
        <v>0</v>
      </c>
      <c r="V36" s="114">
        <f t="shared" si="41"/>
        <v>0</v>
      </c>
      <c r="W36" s="114">
        <f t="shared" si="41"/>
        <v>4</v>
      </c>
      <c r="X36" s="114">
        <f t="shared" si="41"/>
        <v>0</v>
      </c>
      <c r="Y36" s="114">
        <f t="shared" si="41"/>
        <v>0</v>
      </c>
      <c r="Z36" s="114">
        <f t="shared" si="41"/>
        <v>14</v>
      </c>
      <c r="AA36" s="5"/>
      <c r="AB36" s="5"/>
      <c r="AC36" s="5"/>
      <c r="AD36" s="33" t="s">
        <v>13</v>
      </c>
      <c r="AE36" s="5">
        <f t="shared" si="35"/>
        <v>0</v>
      </c>
      <c r="AF36" s="5">
        <f t="shared" si="36"/>
        <v>0</v>
      </c>
      <c r="AG36" s="5">
        <f>'Cost Burden'!Z53</f>
        <v>0</v>
      </c>
      <c r="AH36" s="5">
        <f t="shared" si="37"/>
        <v>0</v>
      </c>
      <c r="AI36" s="5">
        <f t="shared" si="38"/>
        <v>0</v>
      </c>
      <c r="AJ36" s="5">
        <f t="shared" si="39"/>
        <v>4</v>
      </c>
      <c r="AK36" s="5">
        <f t="shared" si="40"/>
        <v>4</v>
      </c>
    </row>
    <row r="37" spans="3:49" ht="15">
      <c r="S37" s="114"/>
      <c r="T37" s="57"/>
      <c r="U37" s="57"/>
      <c r="V37" s="57"/>
      <c r="W37" s="57"/>
      <c r="X37" s="57"/>
      <c r="Y37" s="57"/>
      <c r="Z37" s="57"/>
      <c r="AA37" s="5"/>
      <c r="AB37" s="5"/>
      <c r="AC37" s="5"/>
      <c r="AD37" s="34" t="s">
        <v>1</v>
      </c>
      <c r="AE37" s="37">
        <f t="shared" si="35"/>
        <v>0</v>
      </c>
      <c r="AF37" s="37">
        <f t="shared" si="36"/>
        <v>0</v>
      </c>
      <c r="AG37" s="37">
        <f>'Cost Burden'!Z54</f>
        <v>65</v>
      </c>
      <c r="AH37" s="37">
        <f t="shared" si="37"/>
        <v>0</v>
      </c>
      <c r="AI37" s="37">
        <f t="shared" si="38"/>
        <v>65</v>
      </c>
      <c r="AJ37" s="37">
        <f t="shared" si="39"/>
        <v>60</v>
      </c>
      <c r="AK37" s="37">
        <f t="shared" si="40"/>
        <v>125</v>
      </c>
    </row>
    <row r="38" spans="3:49" ht="15">
      <c r="S38" s="54" t="s">
        <v>4</v>
      </c>
      <c r="T38" s="55"/>
      <c r="U38" s="55"/>
      <c r="V38" s="55"/>
      <c r="W38" s="55"/>
      <c r="X38" s="55"/>
      <c r="Y38" s="55"/>
      <c r="Z38" s="55"/>
      <c r="AA38" s="5"/>
      <c r="AB38" s="5"/>
      <c r="AC38" s="37"/>
    </row>
    <row r="39" spans="3:49">
      <c r="AD39" s="114" t="s">
        <v>2364</v>
      </c>
      <c r="AE39" s="114">
        <f>V56</f>
        <v>0</v>
      </c>
      <c r="AF39" s="114">
        <f>U56</f>
        <v>0</v>
      </c>
      <c r="AG39" s="114">
        <f>'Cost Burden'!Z56</f>
        <v>0</v>
      </c>
      <c r="AH39" s="114">
        <f>SUM(W56:Y56)</f>
        <v>0</v>
      </c>
      <c r="AI39" s="114">
        <f>SUM(U56:Z56)</f>
        <v>0</v>
      </c>
      <c r="AJ39" s="114">
        <f>T56</f>
        <v>15</v>
      </c>
      <c r="AK39" s="114">
        <f>SUM(AJ39,AE39:AH39)</f>
        <v>15</v>
      </c>
    </row>
    <row r="40" spans="3:49">
      <c r="T40" s="57" t="s">
        <v>2637</v>
      </c>
      <c r="U40" s="57" t="s">
        <v>2637</v>
      </c>
      <c r="V40" s="57" t="s">
        <v>2637</v>
      </c>
      <c r="W40" s="57" t="s">
        <v>2637</v>
      </c>
      <c r="X40" s="57" t="s">
        <v>2637</v>
      </c>
      <c r="Y40" s="57" t="s">
        <v>2637</v>
      </c>
      <c r="Z40" s="57" t="s">
        <v>2637</v>
      </c>
      <c r="AE40" s="6">
        <f>AJ39/AJ37</f>
        <v>0.25</v>
      </c>
      <c r="AF40" s="6">
        <f>AI39/AI37</f>
        <v>0</v>
      </c>
      <c r="AG40" s="6" t="e">
        <f>AE39/AE37</f>
        <v>#DIV/0!</v>
      </c>
      <c r="AH40" s="6" t="e">
        <f>AF39/AF37</f>
        <v>#DIV/0!</v>
      </c>
      <c r="AI40" s="6" t="e">
        <f>AH39/AH37</f>
        <v>#DIV/0!</v>
      </c>
      <c r="AJ40" s="6">
        <f>AG39/AG37</f>
        <v>0</v>
      </c>
      <c r="AK40" s="6">
        <f>AK39/AK37</f>
        <v>0.12</v>
      </c>
    </row>
    <row r="41" spans="3:49">
      <c r="T41" t="s">
        <v>2672</v>
      </c>
      <c r="U41" t="s">
        <v>2719</v>
      </c>
      <c r="V41" t="s">
        <v>2666</v>
      </c>
      <c r="W41" t="s">
        <v>2735</v>
      </c>
      <c r="X41" t="s">
        <v>2721</v>
      </c>
      <c r="Y41" t="s">
        <v>2723</v>
      </c>
      <c r="Z41" t="s">
        <v>2790</v>
      </c>
      <c r="AK41" s="31"/>
    </row>
    <row r="42" spans="3:49" ht="15">
      <c r="S42" s="33" t="s">
        <v>12</v>
      </c>
      <c r="T42" s="96" t="s">
        <v>2274</v>
      </c>
      <c r="U42" s="96" t="s">
        <v>2279</v>
      </c>
      <c r="V42" s="96" t="s">
        <v>2284</v>
      </c>
      <c r="W42" s="96" t="s">
        <v>2289</v>
      </c>
      <c r="X42" s="96" t="s">
        <v>2294</v>
      </c>
      <c r="Y42" s="96" t="s">
        <v>2304</v>
      </c>
      <c r="Z42" s="96" t="s">
        <v>2299</v>
      </c>
      <c r="AD42" s="162" t="s">
        <v>2822</v>
      </c>
      <c r="AK42" s="31"/>
    </row>
    <row r="43" spans="3:49">
      <c r="S43" s="33" t="s">
        <v>1981</v>
      </c>
      <c r="T43" s="96" t="s">
        <v>2275</v>
      </c>
      <c r="U43" s="96" t="s">
        <v>2280</v>
      </c>
      <c r="V43" s="96" t="s">
        <v>2285</v>
      </c>
      <c r="W43" s="96" t="s">
        <v>2290</v>
      </c>
      <c r="X43" s="96" t="s">
        <v>2295</v>
      </c>
      <c r="Y43" s="96" t="s">
        <v>2305</v>
      </c>
      <c r="Z43" s="96" t="s">
        <v>2300</v>
      </c>
      <c r="AD43" s="31"/>
      <c r="AE43" s="309" t="s">
        <v>2666</v>
      </c>
      <c r="AF43" s="310" t="s">
        <v>2673</v>
      </c>
      <c r="AG43" s="311" t="s">
        <v>2796</v>
      </c>
      <c r="AH43" s="309" t="s">
        <v>2723</v>
      </c>
      <c r="AI43" s="308"/>
      <c r="AJ43" s="308" t="s">
        <v>2722</v>
      </c>
      <c r="AK43" s="309" t="s">
        <v>2672</v>
      </c>
      <c r="AW43" s="31"/>
    </row>
    <row r="44" spans="3:49">
      <c r="S44" s="33" t="s">
        <v>1982</v>
      </c>
      <c r="T44" s="96" t="s">
        <v>2276</v>
      </c>
      <c r="U44" s="96" t="s">
        <v>2281</v>
      </c>
      <c r="V44" s="96" t="s">
        <v>2286</v>
      </c>
      <c r="W44" s="96" t="s">
        <v>2291</v>
      </c>
      <c r="X44" s="96" t="s">
        <v>2296</v>
      </c>
      <c r="Y44" s="96" t="s">
        <v>2306</v>
      </c>
      <c r="Z44" s="96" t="s">
        <v>2301</v>
      </c>
      <c r="AE44" s="309"/>
      <c r="AF44" s="310"/>
      <c r="AG44" s="311"/>
      <c r="AH44" s="309"/>
      <c r="AI44" s="308"/>
      <c r="AJ44" s="308"/>
      <c r="AK44" s="309"/>
    </row>
    <row r="45" spans="3:49">
      <c r="S45" s="33" t="s">
        <v>13</v>
      </c>
      <c r="T45" s="96" t="s">
        <v>2277</v>
      </c>
      <c r="U45" s="96" t="s">
        <v>2282</v>
      </c>
      <c r="V45" s="96" t="s">
        <v>2287</v>
      </c>
      <c r="W45" s="96" t="s">
        <v>2292</v>
      </c>
      <c r="X45" s="96" t="s">
        <v>2297</v>
      </c>
      <c r="Y45" s="96" t="s">
        <v>2307</v>
      </c>
      <c r="Z45" s="96" t="s">
        <v>2302</v>
      </c>
      <c r="AE45" s="309"/>
      <c r="AF45" s="310"/>
      <c r="AG45" s="311"/>
      <c r="AH45" s="309"/>
      <c r="AI45" s="308"/>
      <c r="AJ45" s="308"/>
      <c r="AK45" s="309"/>
    </row>
    <row r="46" spans="3:49" ht="15">
      <c r="S46" s="33" t="s">
        <v>2</v>
      </c>
      <c r="T46" s="96" t="s">
        <v>2273</v>
      </c>
      <c r="U46" s="96" t="s">
        <v>2278</v>
      </c>
      <c r="V46" s="96" t="s">
        <v>2283</v>
      </c>
      <c r="W46" s="96" t="s">
        <v>2288</v>
      </c>
      <c r="X46" s="96" t="s">
        <v>2293</v>
      </c>
      <c r="Y46" s="96" t="s">
        <v>2303</v>
      </c>
      <c r="Z46" s="96" t="s">
        <v>2298</v>
      </c>
      <c r="AD46" s="54" t="s">
        <v>3</v>
      </c>
      <c r="AE46" s="54"/>
      <c r="AF46" s="54"/>
      <c r="AG46" s="54"/>
      <c r="AH46" s="54"/>
      <c r="AJ46" s="54"/>
      <c r="AK46" s="54"/>
    </row>
    <row r="47" spans="3:49">
      <c r="AD47" s="31" t="s">
        <v>2364</v>
      </c>
      <c r="AE47" s="44" t="str">
        <f>IFERROR(IF(SUM(AE51:AE52)&gt;0, SUM(AE51:AE52), "0"), "0")</f>
        <v>0</v>
      </c>
      <c r="AF47" s="44" t="str">
        <f t="shared" ref="AF47:AK47" si="42">IFERROR(IF(SUM(AF51:AF52)&gt;0, SUM(AF51:AF52), "0"), "0")</f>
        <v>0</v>
      </c>
      <c r="AG47" s="44">
        <f t="shared" si="42"/>
        <v>0.14285714285714285</v>
      </c>
      <c r="AH47" s="44">
        <f t="shared" si="42"/>
        <v>0.21052631578947367</v>
      </c>
      <c r="AJ47" s="44">
        <f t="shared" si="42"/>
        <v>0.15384615384615385</v>
      </c>
      <c r="AK47" s="44">
        <f t="shared" si="42"/>
        <v>0.24305555555555555</v>
      </c>
    </row>
    <row r="48" spans="3:49" ht="14.25" customHeight="1">
      <c r="AC48" s="31"/>
      <c r="AD48" s="31" t="s">
        <v>2365</v>
      </c>
      <c r="AE48" s="44">
        <f>1-AE47</f>
        <v>1</v>
      </c>
      <c r="AF48" s="44">
        <f>1-AF47</f>
        <v>1</v>
      </c>
      <c r="AG48" s="44">
        <f>1-AG47</f>
        <v>0.85714285714285721</v>
      </c>
      <c r="AH48" s="44">
        <f>1-AH47</f>
        <v>0.78947368421052633</v>
      </c>
      <c r="AJ48" s="44">
        <f>1-AJ47</f>
        <v>0.84615384615384615</v>
      </c>
      <c r="AK48" s="44">
        <f>1-AK47</f>
        <v>0.75694444444444442</v>
      </c>
      <c r="AL48" s="31"/>
      <c r="AM48" s="31"/>
      <c r="AN48" s="31"/>
    </row>
    <row r="49" spans="3:48" ht="14.25" customHeight="1">
      <c r="S49" s="5"/>
      <c r="T49" s="34" t="s">
        <v>2672</v>
      </c>
      <c r="U49" s="34" t="s">
        <v>2673</v>
      </c>
      <c r="V49" s="34" t="s">
        <v>2666</v>
      </c>
      <c r="W49" s="34" t="s">
        <v>2720</v>
      </c>
      <c r="X49" s="34" t="s">
        <v>2721</v>
      </c>
      <c r="Y49" s="34" t="s">
        <v>2706</v>
      </c>
      <c r="Z49" s="34" t="s">
        <v>2790</v>
      </c>
      <c r="AA49" s="34" t="s">
        <v>2</v>
      </c>
      <c r="AC49" s="31"/>
      <c r="AD49" s="31" t="s">
        <v>13</v>
      </c>
      <c r="AE49" s="44" t="e">
        <f>IF((AE13/AE14)=0, "",AE13/AE14)</f>
        <v>#DIV/0!</v>
      </c>
      <c r="AF49" s="44" t="e">
        <f t="shared" ref="AF49:AH49" si="43">IF((AF13/AF14)=0, "",AF13/AF14)</f>
        <v>#DIV/0!</v>
      </c>
      <c r="AG49" s="44">
        <f t="shared" si="43"/>
        <v>4.0816326530612242E-2</v>
      </c>
      <c r="AH49" s="44" t="str">
        <f t="shared" si="43"/>
        <v/>
      </c>
      <c r="AJ49" s="44">
        <f>IF((AI13/AI14)=0, "",(AI13/AI14))</f>
        <v>3.4188034188034191E-2</v>
      </c>
      <c r="AK49" s="44">
        <f>IF((AJ13/AJ14)=0, "",(AJ13/AJ14))</f>
        <v>2.7777777777777776E-2</v>
      </c>
      <c r="AL49" s="31"/>
      <c r="AM49" s="31"/>
      <c r="AN49" s="31"/>
    </row>
    <row r="50" spans="3:48" ht="15">
      <c r="C50" s="315" t="s">
        <v>2711</v>
      </c>
      <c r="D50" s="315"/>
      <c r="E50" s="315"/>
      <c r="F50" s="315"/>
      <c r="G50" s="315"/>
      <c r="H50" s="315"/>
      <c r="I50" s="315"/>
      <c r="J50" s="315"/>
      <c r="K50" s="315"/>
      <c r="S50" s="33" t="s">
        <v>12</v>
      </c>
      <c r="T50" s="1">
        <v>45</v>
      </c>
      <c r="U50" s="1">
        <v>0</v>
      </c>
      <c r="V50" s="1">
        <v>0</v>
      </c>
      <c r="W50" s="1">
        <v>0</v>
      </c>
      <c r="X50" s="1">
        <v>0</v>
      </c>
      <c r="Y50" s="1">
        <v>0</v>
      </c>
      <c r="Z50" s="1">
        <v>65</v>
      </c>
      <c r="AA50" s="5">
        <f>SUM(T50:Z50)</f>
        <v>110</v>
      </c>
      <c r="AB50" s="56"/>
      <c r="AC50" s="31"/>
      <c r="AD50" s="31" t="s">
        <v>12</v>
      </c>
      <c r="AE50" s="44" t="e">
        <f>AE10/AE14</f>
        <v>#DIV/0!</v>
      </c>
      <c r="AF50" s="44" t="e">
        <f t="shared" ref="AF50:AH50" si="44">AF10/AF14</f>
        <v>#DIV/0!</v>
      </c>
      <c r="AG50" s="44">
        <f t="shared" si="44"/>
        <v>0.81632653061224492</v>
      </c>
      <c r="AH50" s="44">
        <f t="shared" si="44"/>
        <v>0.78947368421052633</v>
      </c>
      <c r="AJ50" s="44">
        <f>AI10/AI14</f>
        <v>0.81196581196581197</v>
      </c>
      <c r="AK50" s="44">
        <f>AJ10/AJ14</f>
        <v>0.72916666666666663</v>
      </c>
      <c r="AL50" s="31"/>
      <c r="AM50" s="31"/>
      <c r="AN50" s="31"/>
      <c r="AO50" s="31"/>
    </row>
    <row r="51" spans="3:48" ht="14.25" customHeight="1">
      <c r="C51" s="315"/>
      <c r="D51" s="315"/>
      <c r="E51" s="315"/>
      <c r="F51" s="315"/>
      <c r="G51" s="315"/>
      <c r="H51" s="315"/>
      <c r="I51" s="315"/>
      <c r="J51" s="315"/>
      <c r="K51" s="315"/>
      <c r="S51" s="33" t="s">
        <v>1981</v>
      </c>
      <c r="T51" s="1">
        <v>15</v>
      </c>
      <c r="U51" s="1">
        <v>0</v>
      </c>
      <c r="V51" s="1">
        <v>0</v>
      </c>
      <c r="W51" s="1">
        <v>0</v>
      </c>
      <c r="X51" s="1">
        <v>0</v>
      </c>
      <c r="Y51" s="1">
        <v>0</v>
      </c>
      <c r="Z51" s="1">
        <v>0</v>
      </c>
      <c r="AA51" s="5">
        <f t="shared" ref="AA51:AA54" si="45">SUM(T51:Z51)</f>
        <v>15</v>
      </c>
      <c r="AB51" s="56"/>
      <c r="AD51" s="31" t="s">
        <v>1981</v>
      </c>
      <c r="AE51" s="44" t="e">
        <f>AE11/AE14</f>
        <v>#DIV/0!</v>
      </c>
      <c r="AF51" s="44" t="e">
        <f t="shared" ref="AF51:AH51" si="46">AF11/AF14</f>
        <v>#DIV/0!</v>
      </c>
      <c r="AG51" s="44">
        <f t="shared" si="46"/>
        <v>0.10204081632653061</v>
      </c>
      <c r="AH51" s="44">
        <f t="shared" si="46"/>
        <v>0.21052631578947367</v>
      </c>
      <c r="AJ51" s="44">
        <f>AI11/AI14</f>
        <v>0.11965811965811966</v>
      </c>
      <c r="AK51" s="44">
        <f>AJ11/AJ14</f>
        <v>0.12152777777777778</v>
      </c>
      <c r="AL51" s="31"/>
      <c r="AM51" s="31"/>
      <c r="AN51" s="31"/>
      <c r="AO51" s="31"/>
    </row>
    <row r="52" spans="3:48">
      <c r="S52" s="33" t="s">
        <v>1982</v>
      </c>
      <c r="T52" s="1">
        <v>0</v>
      </c>
      <c r="U52" s="1">
        <v>0</v>
      </c>
      <c r="V52" s="1">
        <v>0</v>
      </c>
      <c r="W52" s="1">
        <v>0</v>
      </c>
      <c r="X52" s="1">
        <v>0</v>
      </c>
      <c r="Y52" s="1">
        <v>0</v>
      </c>
      <c r="Z52" s="1">
        <v>0</v>
      </c>
      <c r="AA52" s="5">
        <f t="shared" si="45"/>
        <v>0</v>
      </c>
      <c r="AD52" s="31" t="s">
        <v>1982</v>
      </c>
      <c r="AE52" s="44" t="e">
        <f>AE12/AE14</f>
        <v>#DIV/0!</v>
      </c>
      <c r="AF52" s="44" t="e">
        <f t="shared" ref="AF52:AH52" si="47">AF12/AF14</f>
        <v>#DIV/0!</v>
      </c>
      <c r="AG52" s="44">
        <f t="shared" si="47"/>
        <v>4.0816326530612242E-2</v>
      </c>
      <c r="AH52" s="44">
        <f t="shared" si="47"/>
        <v>0</v>
      </c>
      <c r="AJ52" s="44">
        <f>AI12/AI14</f>
        <v>3.4188034188034191E-2</v>
      </c>
      <c r="AK52" s="44">
        <f>AJ12/AJ14</f>
        <v>0.12152777777777778</v>
      </c>
      <c r="AL52" s="31"/>
      <c r="AM52" s="31"/>
      <c r="AN52" s="31"/>
      <c r="AO52" s="31"/>
    </row>
    <row r="53" spans="3:48" ht="18" customHeight="1">
      <c r="C53" s="303" t="str">
        <f>"Chart 4a. "&amp;City_label&amp;" total housing cost burden by racial and ethnic group, 2019"</f>
        <v>Chart 4a. Entiat total housing cost burden by racial and ethnic group, 2019</v>
      </c>
      <c r="D53" s="303"/>
      <c r="E53" s="303"/>
      <c r="F53" s="303"/>
      <c r="G53" s="303"/>
      <c r="H53" s="303"/>
      <c r="I53" s="303"/>
      <c r="J53" s="303"/>
      <c r="K53" s="303"/>
      <c r="L53" s="303"/>
      <c r="M53" s="303"/>
      <c r="S53" s="33" t="s">
        <v>13</v>
      </c>
      <c r="T53" s="1">
        <v>4</v>
      </c>
      <c r="U53" s="1">
        <v>0</v>
      </c>
      <c r="V53" s="1">
        <v>0</v>
      </c>
      <c r="W53" s="1">
        <v>0</v>
      </c>
      <c r="X53" s="1">
        <v>0</v>
      </c>
      <c r="Y53" s="1">
        <v>0</v>
      </c>
      <c r="Z53" s="1">
        <v>0</v>
      </c>
      <c r="AA53" s="5">
        <f t="shared" si="45"/>
        <v>4</v>
      </c>
      <c r="AD53" s="32"/>
      <c r="AE53" s="34"/>
      <c r="AF53" s="34"/>
      <c r="AG53" s="34"/>
      <c r="AH53" s="34"/>
      <c r="AJ53" s="34"/>
      <c r="AK53" s="34"/>
      <c r="AL53" s="31"/>
      <c r="AM53" s="31"/>
      <c r="AN53" s="31"/>
      <c r="AO53" s="31"/>
    </row>
    <row r="54" spans="3:48" ht="15">
      <c r="C54" s="303"/>
      <c r="D54" s="303"/>
      <c r="E54" s="303"/>
      <c r="F54" s="303"/>
      <c r="G54" s="303"/>
      <c r="H54" s="303"/>
      <c r="I54" s="303"/>
      <c r="J54" s="303"/>
      <c r="K54" s="303"/>
      <c r="L54" s="303"/>
      <c r="M54" s="303"/>
      <c r="S54" s="33" t="s">
        <v>2</v>
      </c>
      <c r="T54" s="1">
        <v>60</v>
      </c>
      <c r="U54" s="1">
        <v>0</v>
      </c>
      <c r="V54" s="1">
        <v>0</v>
      </c>
      <c r="W54" s="1">
        <v>0</v>
      </c>
      <c r="X54" s="1">
        <v>0</v>
      </c>
      <c r="Y54" s="1">
        <v>0</v>
      </c>
      <c r="Z54" s="1">
        <v>65</v>
      </c>
      <c r="AA54" s="37">
        <f t="shared" si="45"/>
        <v>125</v>
      </c>
      <c r="AD54" s="59" t="s">
        <v>2695</v>
      </c>
      <c r="AE54" s="31" t="str">
        <f>"Total Cost Burdened: "&amp;TEXT(AE47,"0%")</f>
        <v>Total Cost Burdened: 0%</v>
      </c>
      <c r="AF54" s="31" t="str">
        <f>"Total Cost Burdened: "&amp;TEXT(AF47,"0%")</f>
        <v>Total Cost Burdened: 0%</v>
      </c>
      <c r="AG54" s="31" t="str">
        <f>"Total Cost Burdened: "&amp;TEXT(AG47,"0%")</f>
        <v>Total Cost Burdened: 14%</v>
      </c>
      <c r="AH54" s="31" t="str">
        <f>"Total Cost Burdened: "&amp;TEXT(AH47,"0%")</f>
        <v>Total Cost Burdened: 21%</v>
      </c>
      <c r="AJ54" s="31" t="str">
        <f>"Total Cost Burdened: "&amp;TEXT(AJ47,"0%")</f>
        <v>Total Cost Burdened: 15%</v>
      </c>
      <c r="AK54" s="31" t="str">
        <f>"Total Cost Burdened: "&amp;TEXT(AK47,"0%")</f>
        <v>Total Cost Burdened: 24%</v>
      </c>
      <c r="AL54" s="31"/>
      <c r="AM54" s="31"/>
      <c r="AN54" s="31"/>
      <c r="AO54" s="31"/>
    </row>
    <row r="55" spans="3:48" ht="15">
      <c r="AD55" s="54" t="s">
        <v>5</v>
      </c>
      <c r="AE55" s="54"/>
      <c r="AF55" s="54"/>
      <c r="AG55" s="54"/>
      <c r="AH55" s="54"/>
      <c r="AJ55" s="54"/>
      <c r="AK55" s="54"/>
      <c r="AL55" s="31"/>
      <c r="AM55" s="31"/>
      <c r="AN55" s="31"/>
      <c r="AO55" s="31"/>
    </row>
    <row r="56" spans="3:48" ht="18" customHeight="1">
      <c r="S56" s="114" t="s">
        <v>2364</v>
      </c>
      <c r="T56" s="114">
        <f t="shared" ref="T56:Z56" si="48">SUM(T51:T52)</f>
        <v>15</v>
      </c>
      <c r="U56" s="57">
        <f t="shared" si="48"/>
        <v>0</v>
      </c>
      <c r="V56" s="57">
        <f t="shared" si="48"/>
        <v>0</v>
      </c>
      <c r="W56" s="57">
        <f t="shared" si="48"/>
        <v>0</v>
      </c>
      <c r="X56" s="57">
        <f t="shared" si="48"/>
        <v>0</v>
      </c>
      <c r="Y56" s="57">
        <f t="shared" si="48"/>
        <v>0</v>
      </c>
      <c r="Z56" s="57">
        <f t="shared" si="48"/>
        <v>0</v>
      </c>
      <c r="AD56" s="31" t="s">
        <v>2364</v>
      </c>
      <c r="AE56" s="268" t="str">
        <f>IFERROR(IF(SUM(AE60:AE61)&gt;0, SUM(AE60:AE61), "0%"), "0%")</f>
        <v>0%</v>
      </c>
      <c r="AF56" s="268" t="str">
        <f t="shared" ref="AF56:AH56" si="49">IFERROR(IF(SUM(AF60:AF61)&gt;0, SUM(AF60:AF61), "0%"), "0%")</f>
        <v>0%</v>
      </c>
      <c r="AG56" s="268">
        <f t="shared" si="49"/>
        <v>0.35</v>
      </c>
      <c r="AH56" s="268">
        <f t="shared" si="49"/>
        <v>0.21052631578947367</v>
      </c>
      <c r="AI56" s="44"/>
      <c r="AJ56" s="44">
        <f t="shared" ref="AJ56:AK56" si="50">IFERROR(IF(SUM(AJ60:AJ61)&gt;0, SUM(AJ60:AJ61), "0"), "0")</f>
        <v>0.30508474576271188</v>
      </c>
      <c r="AK56" s="44">
        <f t="shared" si="50"/>
        <v>0.24444444444444446</v>
      </c>
      <c r="AL56" s="31"/>
      <c r="AM56" s="31"/>
      <c r="AN56" s="31"/>
      <c r="AO56" s="31"/>
    </row>
    <row r="57" spans="3:48" ht="14.25" customHeight="1">
      <c r="AD57" s="31" t="s">
        <v>2365</v>
      </c>
      <c r="AE57" s="44">
        <f>1-AE56</f>
        <v>1</v>
      </c>
      <c r="AF57" s="44">
        <f>1-AF56</f>
        <v>1</v>
      </c>
      <c r="AG57" s="44">
        <f>1-AG56</f>
        <v>0.65</v>
      </c>
      <c r="AH57" s="44">
        <f>1-AH56</f>
        <v>0.78947368421052633</v>
      </c>
      <c r="AJ57" s="44">
        <f>1-AJ56</f>
        <v>0.69491525423728806</v>
      </c>
      <c r="AK57" s="44">
        <f>1-AK56</f>
        <v>0.75555555555555554</v>
      </c>
      <c r="AL57" s="31"/>
      <c r="AM57" s="31"/>
      <c r="AN57" s="31"/>
      <c r="AO57" s="31"/>
      <c r="AS57" s="31"/>
      <c r="AT57" s="31"/>
      <c r="AU57" s="31"/>
      <c r="AV57" s="31"/>
    </row>
    <row r="58" spans="3:48" ht="14.25" customHeight="1">
      <c r="AD58" s="31" t="s">
        <v>13</v>
      </c>
      <c r="AE58" s="44" t="e">
        <f>IF((AE25/AE26)&gt;0,(AE25/AE26),"")</f>
        <v>#DIV/0!</v>
      </c>
      <c r="AF58" s="44" t="e">
        <f t="shared" ref="AF58:AH58" si="51">IF((AF25/AF26)&gt;0,(AF25/AF26),"")</f>
        <v>#DIV/0!</v>
      </c>
      <c r="AG58" s="44">
        <f t="shared" si="51"/>
        <v>0.1</v>
      </c>
      <c r="AH58" s="44" t="str">
        <f t="shared" si="51"/>
        <v/>
      </c>
      <c r="AJ58" s="44">
        <f>IF((AI25/AI26)&gt;0,(AI25/AI26),"")</f>
        <v>6.7796610169491525E-2</v>
      </c>
      <c r="AK58" s="44">
        <f>IF((AJ25/AJ26)&gt;0,(AJ25/AJ26),"")</f>
        <v>1.7777777777777778E-2</v>
      </c>
      <c r="AL58" s="31"/>
      <c r="AM58" s="31"/>
      <c r="AN58" s="31"/>
      <c r="AO58" s="31"/>
      <c r="AR58" s="31"/>
      <c r="AS58" s="31"/>
      <c r="AT58" s="31"/>
      <c r="AU58" s="31"/>
      <c r="AV58" s="31"/>
    </row>
    <row r="59" spans="3:48">
      <c r="AD59" s="31" t="s">
        <v>12</v>
      </c>
      <c r="AE59" s="44" t="e">
        <f>AE22/AE26</f>
        <v>#DIV/0!</v>
      </c>
      <c r="AF59" s="44" t="e">
        <f t="shared" ref="AF59:AH59" si="52">AF22/AF26</f>
        <v>#DIV/0!</v>
      </c>
      <c r="AG59" s="44">
        <f t="shared" si="52"/>
        <v>0.375</v>
      </c>
      <c r="AH59" s="44">
        <f t="shared" si="52"/>
        <v>0.78947368421052633</v>
      </c>
      <c r="AJ59" s="44">
        <f>AI22/AI26</f>
        <v>0.50847457627118642</v>
      </c>
      <c r="AK59" s="44">
        <f>AJ22/AJ26</f>
        <v>0.73333333333333328</v>
      </c>
      <c r="AL59" s="31"/>
      <c r="AM59" s="31"/>
      <c r="AN59" s="31"/>
      <c r="AO59" s="31"/>
      <c r="AQ59" s="31"/>
      <c r="AR59" s="31"/>
      <c r="AS59" s="31"/>
      <c r="AT59" s="31"/>
      <c r="AU59" s="31"/>
      <c r="AV59" s="31"/>
    </row>
    <row r="60" spans="3:48">
      <c r="AD60" s="31" t="s">
        <v>1981</v>
      </c>
      <c r="AE60" s="44" t="e">
        <f>AE23/AE26</f>
        <v>#DIV/0!</v>
      </c>
      <c r="AF60" s="44" t="e">
        <f t="shared" ref="AF60:AH60" si="53">AF23/AF26</f>
        <v>#DIV/0!</v>
      </c>
      <c r="AG60" s="44">
        <f t="shared" si="53"/>
        <v>0.25</v>
      </c>
      <c r="AH60" s="44">
        <f t="shared" si="53"/>
        <v>0.21052631578947367</v>
      </c>
      <c r="AJ60" s="44">
        <f>AI23/AI26</f>
        <v>0.23728813559322035</v>
      </c>
      <c r="AK60" s="44">
        <f>AJ23/AJ26</f>
        <v>8.8888888888888892E-2</v>
      </c>
      <c r="AL60" s="31"/>
      <c r="AM60" s="31"/>
      <c r="AN60" s="31"/>
      <c r="AO60" s="31"/>
      <c r="AQ60" s="31"/>
      <c r="AR60" s="31"/>
      <c r="AS60" s="31"/>
      <c r="AT60" s="31"/>
      <c r="AU60" s="31"/>
      <c r="AV60" s="31"/>
    </row>
    <row r="61" spans="3:48" ht="17.25" thickBot="1">
      <c r="R61" s="62" t="s">
        <v>2753</v>
      </c>
      <c r="S61" s="62"/>
      <c r="T61" s="62"/>
      <c r="U61" s="62"/>
      <c r="V61" s="62"/>
      <c r="W61" s="62"/>
      <c r="X61" s="62"/>
      <c r="Y61" s="62"/>
      <c r="Z61" s="62"/>
      <c r="AA61" s="62"/>
      <c r="AB61" s="62"/>
      <c r="AD61" s="31" t="s">
        <v>1982</v>
      </c>
      <c r="AE61" s="44" t="e">
        <f>AE24/AE26</f>
        <v>#DIV/0!</v>
      </c>
      <c r="AF61" s="44" t="e">
        <f t="shared" ref="AF61:AH61" si="54">AF24/AF26</f>
        <v>#DIV/0!</v>
      </c>
      <c r="AG61" s="44">
        <f t="shared" si="54"/>
        <v>0.1</v>
      </c>
      <c r="AH61" s="44">
        <f t="shared" si="54"/>
        <v>0</v>
      </c>
      <c r="AJ61" s="44">
        <f>AI24/AI26</f>
        <v>6.7796610169491525E-2</v>
      </c>
      <c r="AK61" s="44">
        <f>AJ24/AJ26</f>
        <v>0.15555555555555556</v>
      </c>
      <c r="AL61" s="31"/>
      <c r="AM61" s="31"/>
      <c r="AN61" s="31"/>
      <c r="AO61" s="31"/>
      <c r="AQ61" s="31"/>
      <c r="AR61" s="31"/>
      <c r="AS61" s="31"/>
      <c r="AT61" s="31"/>
      <c r="AU61" s="31"/>
      <c r="AV61" s="31"/>
    </row>
    <row r="62" spans="3:48" ht="15.75" thickTop="1">
      <c r="AD62" s="32"/>
      <c r="AE62" s="34"/>
      <c r="AF62" s="34"/>
      <c r="AG62" s="32"/>
      <c r="AH62" s="34"/>
      <c r="AJ62" s="34"/>
      <c r="AK62" s="34"/>
      <c r="AL62" s="31"/>
      <c r="AM62" s="31"/>
      <c r="AN62" s="31"/>
      <c r="AO62" s="31"/>
      <c r="AQ62" s="31"/>
      <c r="AR62" s="31"/>
      <c r="AS62" s="31"/>
      <c r="AT62" s="31"/>
      <c r="AU62" s="31"/>
      <c r="AV62" s="31"/>
    </row>
    <row r="63" spans="3:48">
      <c r="AD63" s="59" t="s">
        <v>2695</v>
      </c>
      <c r="AE63" s="31" t="str">
        <f>"Total Cost Burdened: "&amp;TEXT(AE56,"0%")</f>
        <v>Total Cost Burdened: 0%</v>
      </c>
      <c r="AF63" s="31" t="str">
        <f>"Total Cost Burdened: "&amp;TEXT(AF56,"0%")</f>
        <v>Total Cost Burdened: 0%</v>
      </c>
      <c r="AG63" s="31" t="str">
        <f>"Total Cost Burdened: "&amp;TEXT(AG56,"0%")</f>
        <v>Total Cost Burdened: 35%</v>
      </c>
      <c r="AH63" s="31" t="str">
        <f>"Total Cost Burdened: "&amp;TEXT(AH56,"0%")</f>
        <v>Total Cost Burdened: 21%</v>
      </c>
      <c r="AJ63" s="31" t="str">
        <f>"Total Cost Burdened: "&amp;TEXT(AJ56,"0%")</f>
        <v>Total Cost Burdened: 31%</v>
      </c>
      <c r="AK63" s="31" t="str">
        <f>"Total Cost Burdened: "&amp;TEXT(AK56,"0%")</f>
        <v>Total Cost Burdened: 24%</v>
      </c>
      <c r="AL63" s="31"/>
      <c r="AM63" s="31"/>
      <c r="AN63" s="31"/>
      <c r="AO63" s="31"/>
      <c r="AQ63" s="31"/>
      <c r="AR63" s="31"/>
      <c r="AS63" s="31"/>
      <c r="AT63" s="31"/>
      <c r="AU63" s="31"/>
      <c r="AV63" s="31"/>
    </row>
    <row r="64" spans="3:48" ht="15">
      <c r="AD64" s="54" t="s">
        <v>4</v>
      </c>
      <c r="AE64" s="54"/>
      <c r="AF64" s="54"/>
      <c r="AG64" s="54"/>
      <c r="AH64" s="54"/>
      <c r="AJ64" s="54"/>
      <c r="AK64" s="54"/>
      <c r="AL64" s="31"/>
      <c r="AM64" s="31"/>
      <c r="AN64" s="31"/>
      <c r="AO64" s="31"/>
      <c r="AP64" s="31"/>
      <c r="AQ64" s="31"/>
      <c r="AR64" s="31"/>
      <c r="AS64" s="31"/>
      <c r="AT64" s="31"/>
      <c r="AU64" s="31"/>
      <c r="AV64" s="31"/>
    </row>
    <row r="65" spans="3:48" ht="15">
      <c r="S65" s="54" t="s">
        <v>5</v>
      </c>
      <c r="T65" s="55"/>
      <c r="U65" s="55"/>
      <c r="V65" s="55"/>
      <c r="W65" s="55"/>
      <c r="X65" s="55"/>
      <c r="Y65" s="55"/>
      <c r="Z65" s="55"/>
      <c r="AD65" s="31" t="s">
        <v>2364</v>
      </c>
      <c r="AE65" s="268" t="str">
        <f>IFERROR(IF(SUM(AE69:AE70)&gt;0, SUM(AE69:AE70), "0%"), "0%")</f>
        <v>0%</v>
      </c>
      <c r="AF65" s="268" t="str">
        <f t="shared" ref="AF65:AH65" si="55">IFERROR(IF(SUM(AF69:AF70)&gt;0, SUM(AF69:AF70), "0%"), "0%")</f>
        <v>0%</v>
      </c>
      <c r="AG65" s="268" t="str">
        <f t="shared" si="55"/>
        <v>0%</v>
      </c>
      <c r="AH65" s="268" t="str">
        <f t="shared" si="55"/>
        <v>0%</v>
      </c>
      <c r="AJ65" s="44" t="str">
        <f t="shared" ref="AJ65:AK65" si="56">IFERROR(IF(SUM(AJ69:AJ70)&gt;0, SUM(AJ69:AJ70), "0"), "0")</f>
        <v>0</v>
      </c>
      <c r="AK65" s="44">
        <f t="shared" si="56"/>
        <v>0.25</v>
      </c>
      <c r="AL65" s="31"/>
      <c r="AM65" s="31"/>
      <c r="AN65" s="31"/>
      <c r="AO65" s="31"/>
      <c r="AP65" s="31"/>
      <c r="AQ65" s="31"/>
      <c r="AR65" s="31"/>
      <c r="AS65" s="31"/>
      <c r="AT65" s="31"/>
      <c r="AU65" s="31"/>
      <c r="AV65" s="31"/>
    </row>
    <row r="66" spans="3:48">
      <c r="S66" s="5"/>
      <c r="T66" s="5"/>
      <c r="U66" s="5"/>
      <c r="V66" s="5"/>
      <c r="W66" s="5"/>
      <c r="X66" s="5"/>
      <c r="Y66" s="5"/>
      <c r="Z66" s="5"/>
      <c r="AD66" s="31" t="s">
        <v>2365</v>
      </c>
      <c r="AE66" s="44">
        <f>1-AE65</f>
        <v>1</v>
      </c>
      <c r="AF66" s="44">
        <f>1-AF65</f>
        <v>1</v>
      </c>
      <c r="AG66" s="44">
        <f>1-AG65</f>
        <v>1</v>
      </c>
      <c r="AH66" s="44">
        <f>1-AH65</f>
        <v>1</v>
      </c>
      <c r="AJ66" s="44">
        <f>1-AJ65</f>
        <v>1</v>
      </c>
      <c r="AK66" s="44">
        <f>1-AK65</f>
        <v>0.75</v>
      </c>
      <c r="AL66" s="31"/>
      <c r="AM66" s="31"/>
      <c r="AN66" s="31"/>
      <c r="AO66" s="31"/>
      <c r="AP66" s="31"/>
      <c r="AQ66" s="31"/>
      <c r="AR66" s="31"/>
    </row>
    <row r="67" spans="3:48">
      <c r="T67" t="s">
        <v>2637</v>
      </c>
      <c r="U67" t="s">
        <v>2637</v>
      </c>
      <c r="V67" t="s">
        <v>2637</v>
      </c>
      <c r="W67" t="s">
        <v>2637</v>
      </c>
      <c r="X67" t="s">
        <v>2637</v>
      </c>
      <c r="Y67" t="s">
        <v>2637</v>
      </c>
      <c r="Z67" t="s">
        <v>2637</v>
      </c>
      <c r="AD67" s="31" t="s">
        <v>13</v>
      </c>
      <c r="AE67" s="44" t="e">
        <f>IF((AE36/AE37)&gt;0,AE36/AE37,"")</f>
        <v>#DIV/0!</v>
      </c>
      <c r="AF67" s="44" t="e">
        <f t="shared" ref="AF67:AH67" si="57">IF((AF36/AF37)&gt;0,AF36/AF37,"")</f>
        <v>#DIV/0!</v>
      </c>
      <c r="AG67" s="44" t="str">
        <f t="shared" si="57"/>
        <v/>
      </c>
      <c r="AH67" s="44" t="e">
        <f t="shared" si="57"/>
        <v>#DIV/0!</v>
      </c>
      <c r="AJ67" s="44" t="str">
        <f>IF((AI36/AI37)&gt;0,AI36/AI37,"")</f>
        <v/>
      </c>
      <c r="AK67" s="44">
        <f>IF((AJ36/AJ37)&gt;0,AJ36/AJ37,"")</f>
        <v>6.6666666666666666E-2</v>
      </c>
      <c r="AL67" s="31"/>
      <c r="AM67" s="31"/>
      <c r="AN67" s="31"/>
      <c r="AO67" s="31"/>
      <c r="AP67" s="31"/>
      <c r="AQ67" s="31"/>
    </row>
    <row r="68" spans="3:48">
      <c r="T68" t="s">
        <v>2735</v>
      </c>
      <c r="U68" t="s">
        <v>2666</v>
      </c>
      <c r="V68" t="s">
        <v>2719</v>
      </c>
      <c r="W68" t="s">
        <v>2790</v>
      </c>
      <c r="X68" t="s">
        <v>2723</v>
      </c>
      <c r="Y68" t="s">
        <v>2721</v>
      </c>
      <c r="Z68" t="s">
        <v>2672</v>
      </c>
      <c r="AD68" s="31" t="s">
        <v>12</v>
      </c>
      <c r="AE68" s="44" t="e">
        <f>AE33/AE37</f>
        <v>#DIV/0!</v>
      </c>
      <c r="AF68" s="44" t="e">
        <f t="shared" ref="AF68:AH68" si="58">AF33/AF37</f>
        <v>#DIV/0!</v>
      </c>
      <c r="AG68" s="44">
        <f t="shared" si="58"/>
        <v>1</v>
      </c>
      <c r="AH68" s="44" t="e">
        <f t="shared" si="58"/>
        <v>#DIV/0!</v>
      </c>
      <c r="AJ68" s="44">
        <f>AI33/AI37</f>
        <v>1</v>
      </c>
      <c r="AK68" s="44">
        <f>AJ33/AJ37</f>
        <v>0.75</v>
      </c>
      <c r="AL68" s="31"/>
      <c r="AM68" s="31"/>
      <c r="AN68" s="31"/>
      <c r="AO68" s="31"/>
    </row>
    <row r="69" spans="3:48">
      <c r="S69" s="33" t="s">
        <v>12</v>
      </c>
      <c r="T69" s="96" t="s">
        <v>2320</v>
      </c>
      <c r="U69" s="96" t="s">
        <v>2316</v>
      </c>
      <c r="V69" s="96" t="s">
        <v>2312</v>
      </c>
      <c r="W69" s="96" t="s">
        <v>2328</v>
      </c>
      <c r="X69" s="96" t="s">
        <v>2332</v>
      </c>
      <c r="Y69" s="96" t="s">
        <v>2324</v>
      </c>
      <c r="Z69" s="96" t="s">
        <v>2308</v>
      </c>
      <c r="AD69" s="31" t="s">
        <v>1981</v>
      </c>
      <c r="AE69" s="44" t="e">
        <f>AE34/AE37</f>
        <v>#DIV/0!</v>
      </c>
      <c r="AF69" s="44" t="e">
        <f t="shared" ref="AF69:AH69" si="59">AF34/AF37</f>
        <v>#DIV/0!</v>
      </c>
      <c r="AG69" s="44">
        <f t="shared" si="59"/>
        <v>0</v>
      </c>
      <c r="AH69" s="44" t="e">
        <f t="shared" si="59"/>
        <v>#DIV/0!</v>
      </c>
      <c r="AJ69" s="44">
        <f>AI34/AI37</f>
        <v>0</v>
      </c>
      <c r="AK69" s="44">
        <f>AJ34/AJ37</f>
        <v>0.25</v>
      </c>
      <c r="AL69" s="31"/>
      <c r="AM69" s="31"/>
      <c r="AN69" s="31"/>
      <c r="AO69" s="31"/>
    </row>
    <row r="70" spans="3:48">
      <c r="S70" s="33" t="s">
        <v>1981</v>
      </c>
      <c r="T70" s="96" t="s">
        <v>2321</v>
      </c>
      <c r="U70" s="96" t="s">
        <v>2317</v>
      </c>
      <c r="V70" s="96" t="s">
        <v>2313</v>
      </c>
      <c r="W70" s="96" t="s">
        <v>2329</v>
      </c>
      <c r="X70" s="96" t="s">
        <v>2333</v>
      </c>
      <c r="Y70" s="96" t="s">
        <v>2325</v>
      </c>
      <c r="Z70" s="96" t="s">
        <v>2309</v>
      </c>
      <c r="AD70" s="31" t="s">
        <v>1982</v>
      </c>
      <c r="AE70" s="44" t="e">
        <f>AE35/AE37</f>
        <v>#DIV/0!</v>
      </c>
      <c r="AF70" s="44" t="e">
        <f t="shared" ref="AF70:AH70" si="60">AF35/AF37</f>
        <v>#DIV/0!</v>
      </c>
      <c r="AG70" s="44">
        <f t="shared" si="60"/>
        <v>0</v>
      </c>
      <c r="AH70" s="44" t="e">
        <f t="shared" si="60"/>
        <v>#DIV/0!</v>
      </c>
      <c r="AJ70" s="44">
        <f>AI35/AI37</f>
        <v>0</v>
      </c>
      <c r="AK70" s="44">
        <f>AJ35/AJ37</f>
        <v>0</v>
      </c>
      <c r="AL70" s="31"/>
      <c r="AM70" s="31"/>
      <c r="AN70" s="31"/>
      <c r="AO70" s="31"/>
    </row>
    <row r="71" spans="3:48" ht="15">
      <c r="S71" s="33" t="s">
        <v>1982</v>
      </c>
      <c r="T71" s="96" t="s">
        <v>2322</v>
      </c>
      <c r="U71" s="96" t="s">
        <v>2318</v>
      </c>
      <c r="V71" s="96" t="s">
        <v>2314</v>
      </c>
      <c r="W71" s="96" t="s">
        <v>2330</v>
      </c>
      <c r="X71" s="96" t="s">
        <v>2334</v>
      </c>
      <c r="Y71" s="96" t="s">
        <v>2326</v>
      </c>
      <c r="Z71" s="96" t="s">
        <v>2310</v>
      </c>
      <c r="AD71" s="32"/>
      <c r="AE71" s="34"/>
      <c r="AF71" s="34"/>
      <c r="AG71" s="34"/>
      <c r="AH71" s="34"/>
      <c r="AI71" s="34"/>
      <c r="AJ71" s="34"/>
      <c r="AK71" s="31"/>
      <c r="AL71" s="31"/>
      <c r="AM71" s="31"/>
      <c r="AN71" s="31"/>
      <c r="AO71" s="31"/>
    </row>
    <row r="72" spans="3:48">
      <c r="S72" s="33" t="s">
        <v>13</v>
      </c>
      <c r="T72" s="96" t="s">
        <v>2323</v>
      </c>
      <c r="U72" s="96" t="s">
        <v>2319</v>
      </c>
      <c r="V72" s="96" t="s">
        <v>2315</v>
      </c>
      <c r="W72" s="96" t="s">
        <v>2331</v>
      </c>
      <c r="X72" s="96" t="s">
        <v>2335</v>
      </c>
      <c r="Y72" s="96" t="s">
        <v>2327</v>
      </c>
      <c r="Z72" s="96" t="s">
        <v>2311</v>
      </c>
      <c r="AD72" s="59" t="s">
        <v>2695</v>
      </c>
      <c r="AE72" s="31" t="str">
        <f>"Total Cost Burdened: "&amp;TEXT(AK65,"0%")</f>
        <v>Total Cost Burdened: 25%</v>
      </c>
      <c r="AF72" s="31" t="str">
        <f>"Total Cost Burdened: "&amp;TEXT(AJ65,"0%")</f>
        <v>Total Cost Burdened: 0%</v>
      </c>
      <c r="AG72" s="31" t="str">
        <f>"Total Cost Burdened: "&amp;TEXT(AE65,"0%")</f>
        <v>Total Cost Burdened: 0%</v>
      </c>
      <c r="AH72" s="31" t="str">
        <f>"Total Cost Burdened: "&amp;TEXT(AF65,"0%")</f>
        <v>Total Cost Burdened: 0%</v>
      </c>
      <c r="AI72" s="31" t="str">
        <f>"Total Cost Burdened: "&amp;TEXT(AH65,"0%")</f>
        <v>Total Cost Burdened: 0%</v>
      </c>
      <c r="AJ72" s="31" t="str">
        <f>"Total Cost Burdened: "&amp;TEXT(AG65,"0%")</f>
        <v>Total Cost Burdened: 0%</v>
      </c>
      <c r="AK72" s="31"/>
      <c r="AL72" s="31"/>
      <c r="AM72" s="31"/>
      <c r="AN72" s="31"/>
      <c r="AO72" s="31"/>
    </row>
    <row r="73" spans="3:48">
      <c r="C73" s="315" t="s">
        <v>2711</v>
      </c>
      <c r="D73" s="315"/>
      <c r="E73" s="315"/>
      <c r="F73" s="315"/>
      <c r="G73" s="315"/>
      <c r="H73" s="315"/>
      <c r="I73" s="315"/>
      <c r="J73" s="315"/>
      <c r="K73" s="315"/>
      <c r="AD73" s="31"/>
      <c r="AE73" s="31"/>
      <c r="AF73" s="31"/>
      <c r="AG73" s="31"/>
      <c r="AH73" s="31"/>
      <c r="AI73" s="31"/>
      <c r="AJ73" s="31"/>
      <c r="AK73" s="31"/>
      <c r="AO73" s="31"/>
    </row>
    <row r="74" spans="3:48">
      <c r="C74" s="315"/>
      <c r="D74" s="315"/>
      <c r="E74" s="315"/>
      <c r="F74" s="315"/>
      <c r="G74" s="315"/>
      <c r="H74" s="315"/>
      <c r="I74" s="315"/>
      <c r="J74" s="315"/>
      <c r="K74" s="315"/>
      <c r="AD74" s="31"/>
      <c r="AE74" s="31">
        <v>0</v>
      </c>
      <c r="AF74" s="31">
        <v>0</v>
      </c>
      <c r="AG74" s="31">
        <v>0</v>
      </c>
      <c r="AH74" s="31">
        <v>0</v>
      </c>
      <c r="AI74" s="31">
        <v>0</v>
      </c>
      <c r="AJ74" s="31">
        <v>0</v>
      </c>
      <c r="AK74" s="31"/>
      <c r="AO74" s="31"/>
    </row>
    <row r="75" spans="3:48" ht="15">
      <c r="S75" s="5"/>
      <c r="T75" s="34" t="s">
        <v>2720</v>
      </c>
      <c r="U75" s="34" t="s">
        <v>2666</v>
      </c>
      <c r="V75" s="34" t="s">
        <v>2673</v>
      </c>
      <c r="W75" s="34" t="s">
        <v>2790</v>
      </c>
      <c r="X75" s="34" t="s">
        <v>2706</v>
      </c>
      <c r="Y75" s="34" t="s">
        <v>2721</v>
      </c>
      <c r="Z75" s="34" t="s">
        <v>2672</v>
      </c>
    </row>
    <row r="76" spans="3:48" ht="18" customHeight="1">
      <c r="C76" s="303" t="str">
        <f>"Chart 5. "&amp;City_label&amp;" number of owner households by race and cost burden, 2019"</f>
        <v>Chart 5. Entiat number of owner households by race and cost burden, 2019</v>
      </c>
      <c r="D76" s="303"/>
      <c r="E76" s="303"/>
      <c r="F76" s="303"/>
      <c r="G76" s="303"/>
      <c r="H76" s="303"/>
      <c r="I76" s="303"/>
      <c r="J76" s="303"/>
      <c r="K76" s="303"/>
      <c r="L76" s="303"/>
      <c r="M76" s="303"/>
      <c r="S76" s="33" t="s">
        <v>12</v>
      </c>
      <c r="T76" s="1">
        <v>12</v>
      </c>
      <c r="U76" s="1">
        <v>12</v>
      </c>
      <c r="V76" s="1">
        <v>12</v>
      </c>
      <c r="W76" s="1">
        <v>17</v>
      </c>
      <c r="X76" s="1">
        <v>17</v>
      </c>
      <c r="Y76" s="1">
        <v>12</v>
      </c>
      <c r="Z76" s="1">
        <v>49</v>
      </c>
    </row>
    <row r="77" spans="3:48">
      <c r="C77" s="303"/>
      <c r="D77" s="303"/>
      <c r="E77" s="303"/>
      <c r="F77" s="303"/>
      <c r="G77" s="303"/>
      <c r="H77" s="303"/>
      <c r="I77" s="303"/>
      <c r="J77" s="303"/>
      <c r="K77" s="303"/>
      <c r="L77" s="303"/>
      <c r="M77" s="303"/>
      <c r="S77" s="33" t="s">
        <v>1981</v>
      </c>
      <c r="T77" s="1">
        <v>13</v>
      </c>
      <c r="U77" s="1">
        <v>12</v>
      </c>
      <c r="V77" s="1">
        <v>12</v>
      </c>
      <c r="W77" s="1">
        <v>22</v>
      </c>
      <c r="X77" s="1">
        <v>12</v>
      </c>
      <c r="Y77" s="1">
        <v>12</v>
      </c>
      <c r="Z77" s="1">
        <v>19</v>
      </c>
    </row>
    <row r="78" spans="3:48">
      <c r="S78" s="33" t="s">
        <v>1982</v>
      </c>
      <c r="T78" s="1">
        <v>12</v>
      </c>
      <c r="U78" s="1">
        <v>12</v>
      </c>
      <c r="V78" s="1">
        <v>12</v>
      </c>
      <c r="W78" s="1">
        <v>1</v>
      </c>
      <c r="X78" s="1">
        <v>12</v>
      </c>
      <c r="Y78" s="1">
        <v>12</v>
      </c>
      <c r="Z78" s="1">
        <v>28</v>
      </c>
    </row>
    <row r="79" spans="3:48">
      <c r="S79" s="33" t="s">
        <v>13</v>
      </c>
      <c r="T79" s="1">
        <v>12</v>
      </c>
      <c r="U79" s="1">
        <v>12</v>
      </c>
      <c r="V79" s="1">
        <v>12</v>
      </c>
      <c r="W79" s="1">
        <v>19</v>
      </c>
      <c r="X79" s="1">
        <v>12</v>
      </c>
      <c r="Y79" s="1">
        <v>12</v>
      </c>
      <c r="Z79" s="1">
        <v>12</v>
      </c>
    </row>
    <row r="80" spans="3:48" ht="15">
      <c r="S80" s="33" t="s">
        <v>1</v>
      </c>
      <c r="T80" s="37">
        <f t="shared" ref="T80:Z80" si="61">SUM(T76:T79)</f>
        <v>49</v>
      </c>
      <c r="U80" s="37">
        <f t="shared" si="61"/>
        <v>48</v>
      </c>
      <c r="V80" s="37">
        <f t="shared" si="61"/>
        <v>48</v>
      </c>
      <c r="W80" s="37">
        <f t="shared" si="61"/>
        <v>59</v>
      </c>
      <c r="X80" s="37">
        <f t="shared" si="61"/>
        <v>53</v>
      </c>
      <c r="Y80" s="37">
        <f t="shared" si="61"/>
        <v>48</v>
      </c>
      <c r="Z80" s="37">
        <f t="shared" si="61"/>
        <v>108</v>
      </c>
    </row>
    <row r="82" spans="19:26" ht="15">
      <c r="S82" s="5"/>
      <c r="T82" s="34" t="s">
        <v>2720</v>
      </c>
      <c r="U82" s="34" t="s">
        <v>2666</v>
      </c>
      <c r="V82" s="34" t="s">
        <v>2673</v>
      </c>
      <c r="W82" s="34" t="s">
        <v>2790</v>
      </c>
      <c r="X82" s="34" t="s">
        <v>2706</v>
      </c>
      <c r="Y82" s="34" t="s">
        <v>2721</v>
      </c>
      <c r="Z82" s="34" t="s">
        <v>2672</v>
      </c>
    </row>
    <row r="83" spans="19:26">
      <c r="S83" s="33" t="s">
        <v>12</v>
      </c>
      <c r="T83" s="6">
        <f>IFERROR((((T76/1.645)/W30)),0)</f>
        <v>0</v>
      </c>
      <c r="U83" s="6">
        <f>IFERROR((((U76/1.645)/V30)),0)</f>
        <v>0</v>
      </c>
      <c r="V83" s="6">
        <f>IFERROR((((V76/1.645)/U30)),0)</f>
        <v>0</v>
      </c>
      <c r="W83" s="6">
        <f>IFERROR((((W76/1.645)/Z30)),0)</f>
        <v>0.68895643363728476</v>
      </c>
      <c r="X83" s="6">
        <f>IFERROR((((X76/1.645)/Y30)),0)</f>
        <v>0.68895643363728476</v>
      </c>
      <c r="Y83" s="6">
        <f>IFERROR((((Y76/1.645)/X30)),0)</f>
        <v>0</v>
      </c>
      <c r="Z83" s="6">
        <f>IFERROR((((Z76/1.645)/T30)),0)</f>
        <v>0.18052869116698902</v>
      </c>
    </row>
    <row r="84" spans="19:26">
      <c r="S84" s="33" t="s">
        <v>1981</v>
      </c>
      <c r="T84" s="6">
        <f>IFERROR((((T77/1.645)/W31)),0)</f>
        <v>1.9756838905775076</v>
      </c>
      <c r="U84" s="6">
        <f>IFERROR((((U77/1.645)/V31)),0)</f>
        <v>0</v>
      </c>
      <c r="V84" s="6">
        <f>IFERROR((((V77/1.645)/U31)),0)</f>
        <v>0</v>
      </c>
      <c r="W84" s="6">
        <f>IFERROR((((W77/1.645)/Z31)),0)</f>
        <v>1.337386018237082</v>
      </c>
      <c r="X84" s="6">
        <f>IFERROR((((X77/1.645)/Y31)),0)</f>
        <v>0</v>
      </c>
      <c r="Y84" s="6">
        <f>IFERROR((((Y77/1.645)/X31)),0)</f>
        <v>0</v>
      </c>
      <c r="Z84" s="6">
        <f>IFERROR((((Z77/1.645)/T31)),0)</f>
        <v>0.57750759878419455</v>
      </c>
    </row>
    <row r="85" spans="19:26">
      <c r="S85" s="33" t="s">
        <v>1982</v>
      </c>
      <c r="T85" s="6">
        <f>IFERROR((((T78/1.645)/W32)),0)</f>
        <v>0</v>
      </c>
      <c r="U85" s="6">
        <f>IFERROR((((U78/1.645)/V32)),0)</f>
        <v>0</v>
      </c>
      <c r="V85" s="6">
        <f>IFERROR((((V78/1.645)/U32)),0)</f>
        <v>0</v>
      </c>
      <c r="W85" s="6">
        <f>IFERROR((((W78/1.645)/Z32)),0)</f>
        <v>0.1519756838905775</v>
      </c>
      <c r="X85" s="6">
        <f>IFERROR((((X78/1.645)/Y32)),0)</f>
        <v>0</v>
      </c>
      <c r="Y85" s="6">
        <f>IFERROR((((Y78/1.645)/X32)),0)</f>
        <v>0</v>
      </c>
      <c r="Z85" s="6">
        <f>IFERROR((((Z78/1.645)/T32)),0)</f>
        <v>0.48632218844984804</v>
      </c>
    </row>
    <row r="86" spans="19:26">
      <c r="S86" s="33" t="s">
        <v>13</v>
      </c>
      <c r="T86" s="6">
        <f>IFERROR((((T79/1.645)/W33)),0)</f>
        <v>0</v>
      </c>
      <c r="U86" s="6">
        <f>IFERROR((((U79/1.645)/V33)),0)</f>
        <v>0</v>
      </c>
      <c r="V86" s="6">
        <f>IFERROR((((V79/1.645)/U33)),0)</f>
        <v>0</v>
      </c>
      <c r="W86" s="6">
        <f>IFERROR((((W79/1.645)/Z33)),0)</f>
        <v>2.8875379939209727</v>
      </c>
      <c r="X86" s="6">
        <f>IFERROR((((X79/1.645)/Y33)),0)</f>
        <v>0</v>
      </c>
      <c r="Y86" s="6">
        <f>IFERROR((((Y79/1.645)/X33)),0)</f>
        <v>0</v>
      </c>
      <c r="Z86" s="6">
        <f>IFERROR((((Z79/1.645)/T33)),0)</f>
        <v>1.8237082066869301</v>
      </c>
    </row>
    <row r="87" spans="19:26">
      <c r="S87" s="33"/>
      <c r="T87" s="215">
        <f>COUNTIF(T83:T86, "&gt;=City_OFM")</f>
        <v>0</v>
      </c>
      <c r="U87" s="215"/>
      <c r="V87" s="215"/>
      <c r="W87" s="215"/>
      <c r="X87" s="215"/>
      <c r="Y87" s="215"/>
      <c r="Z87" s="215"/>
    </row>
    <row r="88" spans="19:26">
      <c r="S88" s="5"/>
      <c r="T88" s="5"/>
      <c r="U88" s="5"/>
      <c r="V88" s="5"/>
      <c r="W88" s="5"/>
      <c r="X88" s="5"/>
      <c r="Y88" s="5"/>
      <c r="Z88" s="5"/>
    </row>
    <row r="89" spans="19:26" ht="15">
      <c r="S89" s="54" t="s">
        <v>4</v>
      </c>
      <c r="T89" s="55"/>
      <c r="U89" s="55"/>
      <c r="V89" s="55"/>
      <c r="W89" s="55"/>
      <c r="X89" s="55"/>
      <c r="Y89" s="55"/>
      <c r="Z89" s="55"/>
    </row>
    <row r="91" spans="19:26">
      <c r="T91" t="s">
        <v>2637</v>
      </c>
      <c r="U91" t="s">
        <v>2637</v>
      </c>
      <c r="V91" t="s">
        <v>2637</v>
      </c>
      <c r="W91" t="s">
        <v>2637</v>
      </c>
      <c r="X91" t="s">
        <v>2637</v>
      </c>
      <c r="Y91" t="s">
        <v>2637</v>
      </c>
      <c r="Z91" t="s">
        <v>2637</v>
      </c>
    </row>
    <row r="92" spans="19:26">
      <c r="T92" t="s">
        <v>2735</v>
      </c>
      <c r="U92" t="s">
        <v>2666</v>
      </c>
      <c r="V92" t="s">
        <v>2719</v>
      </c>
      <c r="W92" t="s">
        <v>2790</v>
      </c>
      <c r="X92" t="s">
        <v>2723</v>
      </c>
      <c r="Y92" t="s">
        <v>2721</v>
      </c>
      <c r="Z92" t="s">
        <v>2672</v>
      </c>
    </row>
    <row r="93" spans="19:26">
      <c r="S93" s="33" t="s">
        <v>12</v>
      </c>
      <c r="T93" s="96" t="s">
        <v>2348</v>
      </c>
      <c r="U93" s="96" t="s">
        <v>2344</v>
      </c>
      <c r="V93" s="96" t="s">
        <v>2340</v>
      </c>
      <c r="W93" s="96" t="s">
        <v>2356</v>
      </c>
      <c r="X93" s="96" t="s">
        <v>2360</v>
      </c>
      <c r="Y93" s="96" t="s">
        <v>2352</v>
      </c>
      <c r="Z93" s="96" t="s">
        <v>2336</v>
      </c>
    </row>
    <row r="94" spans="19:26">
      <c r="S94" s="33" t="s">
        <v>1981</v>
      </c>
      <c r="T94" s="96" t="s">
        <v>2349</v>
      </c>
      <c r="U94" s="96" t="s">
        <v>2345</v>
      </c>
      <c r="V94" s="96" t="s">
        <v>2341</v>
      </c>
      <c r="W94" s="96" t="s">
        <v>2357</v>
      </c>
      <c r="X94" s="96" t="s">
        <v>2361</v>
      </c>
      <c r="Y94" s="96" t="s">
        <v>2353</v>
      </c>
      <c r="Z94" s="96" t="s">
        <v>2337</v>
      </c>
    </row>
    <row r="95" spans="19:26">
      <c r="S95" s="33" t="s">
        <v>1982</v>
      </c>
      <c r="T95" s="96" t="s">
        <v>2350</v>
      </c>
      <c r="U95" s="96" t="s">
        <v>2346</v>
      </c>
      <c r="V95" s="96" t="s">
        <v>2342</v>
      </c>
      <c r="W95" s="96" t="s">
        <v>2358</v>
      </c>
      <c r="X95" s="96" t="s">
        <v>2362</v>
      </c>
      <c r="Y95" s="96" t="s">
        <v>2354</v>
      </c>
      <c r="Z95" s="96" t="s">
        <v>2338</v>
      </c>
    </row>
    <row r="96" spans="19:26">
      <c r="S96" s="33" t="s">
        <v>13</v>
      </c>
      <c r="T96" s="96" t="s">
        <v>2351</v>
      </c>
      <c r="U96" s="96" t="s">
        <v>2347</v>
      </c>
      <c r="V96" s="96" t="s">
        <v>2343</v>
      </c>
      <c r="W96" s="96" t="s">
        <v>2359</v>
      </c>
      <c r="X96" s="96" t="s">
        <v>2363</v>
      </c>
      <c r="Y96" s="96" t="s">
        <v>2355</v>
      </c>
      <c r="Z96" s="96" t="s">
        <v>2339</v>
      </c>
    </row>
    <row r="97" spans="3:37">
      <c r="C97" s="302" t="s">
        <v>2711</v>
      </c>
      <c r="D97" s="302"/>
      <c r="E97" s="302"/>
      <c r="F97" s="302"/>
      <c r="G97" s="302"/>
      <c r="H97" s="302"/>
      <c r="I97" s="302"/>
      <c r="J97" s="302"/>
      <c r="K97" s="302"/>
    </row>
    <row r="98" spans="3:37" ht="18" customHeight="1">
      <c r="C98" s="302"/>
      <c r="D98" s="302"/>
      <c r="E98" s="302"/>
      <c r="F98" s="302"/>
      <c r="G98" s="302"/>
      <c r="H98" s="302"/>
      <c r="I98" s="302"/>
      <c r="J98" s="302"/>
      <c r="K98" s="302"/>
    </row>
    <row r="99" spans="3:37" ht="15">
      <c r="S99" s="5"/>
      <c r="T99" s="34" t="s">
        <v>2720</v>
      </c>
      <c r="U99" s="34" t="s">
        <v>2666</v>
      </c>
      <c r="V99" s="34" t="s">
        <v>2673</v>
      </c>
      <c r="W99" s="34" t="s">
        <v>2790</v>
      </c>
      <c r="X99" s="34" t="s">
        <v>2706</v>
      </c>
      <c r="Y99" s="34" t="s">
        <v>2721</v>
      </c>
      <c r="Z99" s="34" t="s">
        <v>2672</v>
      </c>
    </row>
    <row r="100" spans="3:37" ht="19.5" customHeight="1">
      <c r="C100" s="303" t="str">
        <f>"Chart 5a. "&amp;City_label&amp;" number of owner households by race and cost burden, 2019"</f>
        <v>Chart 5a. Entiat number of owner households by race and cost burden, 2019</v>
      </c>
      <c r="D100" s="303"/>
      <c r="E100" s="303"/>
      <c r="F100" s="303"/>
      <c r="G100" s="303"/>
      <c r="H100" s="303"/>
      <c r="I100" s="303"/>
      <c r="J100" s="303"/>
      <c r="K100" s="303"/>
      <c r="L100" s="303"/>
      <c r="M100" s="303"/>
      <c r="S100" s="33" t="s">
        <v>12</v>
      </c>
      <c r="T100" s="1">
        <v>12</v>
      </c>
      <c r="U100" s="1">
        <v>12</v>
      </c>
      <c r="V100" s="1">
        <v>12</v>
      </c>
      <c r="W100" s="1">
        <v>48</v>
      </c>
      <c r="X100" s="1">
        <v>12</v>
      </c>
      <c r="Y100" s="1">
        <v>12</v>
      </c>
      <c r="Z100" s="1">
        <v>23</v>
      </c>
    </row>
    <row r="101" spans="3:37" ht="19.5" customHeight="1">
      <c r="C101" s="303"/>
      <c r="D101" s="303"/>
      <c r="E101" s="303"/>
      <c r="F101" s="303"/>
      <c r="G101" s="303"/>
      <c r="H101" s="303"/>
      <c r="I101" s="303"/>
      <c r="J101" s="303"/>
      <c r="K101" s="303"/>
      <c r="L101" s="303"/>
      <c r="M101" s="303"/>
      <c r="S101" s="33" t="s">
        <v>1981</v>
      </c>
      <c r="T101" s="1">
        <v>12</v>
      </c>
      <c r="U101" s="1">
        <v>12</v>
      </c>
      <c r="V101" s="1">
        <v>12</v>
      </c>
      <c r="W101" s="1">
        <v>12</v>
      </c>
      <c r="X101" s="1">
        <v>12</v>
      </c>
      <c r="Y101" s="1">
        <v>12</v>
      </c>
      <c r="Z101" s="1">
        <v>11</v>
      </c>
    </row>
    <row r="102" spans="3:37">
      <c r="S102" s="33" t="s">
        <v>1982</v>
      </c>
      <c r="T102" s="1">
        <v>12</v>
      </c>
      <c r="U102" s="1">
        <v>12</v>
      </c>
      <c r="V102" s="1">
        <v>12</v>
      </c>
      <c r="W102" s="1">
        <v>12</v>
      </c>
      <c r="X102" s="1">
        <v>12</v>
      </c>
      <c r="Y102" s="1">
        <v>12</v>
      </c>
      <c r="Z102" s="1">
        <v>12</v>
      </c>
    </row>
    <row r="103" spans="3:37">
      <c r="S103" s="33" t="s">
        <v>13</v>
      </c>
      <c r="T103" s="1">
        <v>12</v>
      </c>
      <c r="U103" s="1">
        <v>12</v>
      </c>
      <c r="V103" s="1">
        <v>12</v>
      </c>
      <c r="W103" s="1">
        <v>12</v>
      </c>
      <c r="X103" s="1">
        <v>12</v>
      </c>
      <c r="Y103" s="1">
        <v>12</v>
      </c>
      <c r="Z103" s="1">
        <v>12</v>
      </c>
    </row>
    <row r="104" spans="3:37" ht="15">
      <c r="S104" s="33" t="s">
        <v>1</v>
      </c>
      <c r="T104" s="37">
        <f t="shared" ref="T104:Z104" si="62">SUM(T100:T103)</f>
        <v>48</v>
      </c>
      <c r="U104" s="37">
        <f t="shared" si="62"/>
        <v>48</v>
      </c>
      <c r="V104" s="37">
        <f t="shared" si="62"/>
        <v>48</v>
      </c>
      <c r="W104" s="37">
        <f t="shared" si="62"/>
        <v>84</v>
      </c>
      <c r="X104" s="37">
        <f t="shared" si="62"/>
        <v>48</v>
      </c>
      <c r="Y104" s="37">
        <f t="shared" si="62"/>
        <v>48</v>
      </c>
      <c r="Z104" s="37">
        <f t="shared" si="62"/>
        <v>58</v>
      </c>
      <c r="AD104" s="31"/>
      <c r="AE104" s="31"/>
      <c r="AF104" s="31"/>
      <c r="AG104" s="31"/>
      <c r="AH104" s="31"/>
      <c r="AI104" s="31"/>
      <c r="AJ104" s="31"/>
      <c r="AK104" s="31"/>
    </row>
    <row r="106" spans="3:37" ht="14.25" customHeight="1">
      <c r="S106" s="5"/>
      <c r="T106" s="34" t="s">
        <v>2720</v>
      </c>
      <c r="U106" s="34" t="s">
        <v>2666</v>
      </c>
      <c r="V106" s="34" t="s">
        <v>2673</v>
      </c>
      <c r="W106" s="34" t="s">
        <v>2790</v>
      </c>
      <c r="X106" s="34" t="s">
        <v>2706</v>
      </c>
      <c r="Y106" s="34" t="s">
        <v>2721</v>
      </c>
      <c r="Z106" s="34" t="s">
        <v>2672</v>
      </c>
    </row>
    <row r="107" spans="3:37">
      <c r="S107" s="33" t="s">
        <v>12</v>
      </c>
      <c r="T107" s="6">
        <f>IFERROR((((T100/1.645)/W50)),0)</f>
        <v>0</v>
      </c>
      <c r="U107" s="6">
        <f>IFERROR((((U100/1.645)/V50)),0)</f>
        <v>0</v>
      </c>
      <c r="V107" s="6">
        <f>IFERROR((((V100/1.645)/U50)),0)</f>
        <v>0</v>
      </c>
      <c r="W107" s="6">
        <f>IFERROR((((W100/1.645)/Z50)),0)</f>
        <v>0.44891278933832124</v>
      </c>
      <c r="X107" s="6">
        <f>IFERROR((((X100/1.645)/Y50)),0)</f>
        <v>0</v>
      </c>
      <c r="Y107" s="6">
        <f>IFERROR((((Y100/1.645)/X50)),0)</f>
        <v>0</v>
      </c>
      <c r="Z107" s="6">
        <f>IFERROR((((Z100/1.645)/T50)),0)</f>
        <v>0.31070584262073625</v>
      </c>
    </row>
    <row r="108" spans="3:37">
      <c r="S108" s="33" t="s">
        <v>1981</v>
      </c>
      <c r="T108" s="6">
        <f>IFERROR((((T101/1.645)/W51)),0)</f>
        <v>0</v>
      </c>
      <c r="U108" s="6">
        <f>IFERROR((((U101/1.645)/V51)),0)</f>
        <v>0</v>
      </c>
      <c r="V108" s="6">
        <f>IFERROR((((V101/1.645)/U51)),0)</f>
        <v>0</v>
      </c>
      <c r="W108" s="6">
        <f>IFERROR((((W101/1.645)/Z51)),0)</f>
        <v>0</v>
      </c>
      <c r="X108" s="6">
        <f>IFERROR((((X101/1.645)/Y51)),0)</f>
        <v>0</v>
      </c>
      <c r="Y108" s="6">
        <f>IFERROR((((Y101/1.645)/X51)),0)</f>
        <v>0</v>
      </c>
      <c r="Z108" s="6">
        <f>IFERROR((((Z101/1.645)/T51)),0)</f>
        <v>0.44579533941236071</v>
      </c>
    </row>
    <row r="109" spans="3:37">
      <c r="S109" s="33" t="s">
        <v>1982</v>
      </c>
      <c r="T109" s="6">
        <f>IFERROR((((T102/1.645)/W52)),0)</f>
        <v>0</v>
      </c>
      <c r="U109" s="6">
        <f>IFERROR((((U102/1.645)/V52)),0)</f>
        <v>0</v>
      </c>
      <c r="V109" s="6">
        <f>IFERROR((((V102/1.645)/U52)),0)</f>
        <v>0</v>
      </c>
      <c r="W109" s="6">
        <f>IFERROR((((W102/1.645)/Z52)),0)</f>
        <v>0</v>
      </c>
      <c r="X109" s="6">
        <f>IFERROR((((X102/1.645)/Y52)),0)</f>
        <v>0</v>
      </c>
      <c r="Y109" s="6">
        <f>IFERROR((((Y102/1.645)/X52)),0)</f>
        <v>0</v>
      </c>
      <c r="Z109" s="6">
        <f>IFERROR((((Z102/1.645)/T52)),0)</f>
        <v>0</v>
      </c>
    </row>
    <row r="110" spans="3:37">
      <c r="S110" s="33" t="s">
        <v>13</v>
      </c>
      <c r="T110" s="6">
        <f>IFERROR((((T103/1.645)/W53)),0)</f>
        <v>0</v>
      </c>
      <c r="U110" s="6">
        <f>IFERROR((((U103/1.645)/V53)),0)</f>
        <v>0</v>
      </c>
      <c r="V110" s="6">
        <f>IFERROR((((V103/1.645)/U53)),0)</f>
        <v>0</v>
      </c>
      <c r="W110" s="6">
        <f>IFERROR((((W103/1.645)/Z53)),0)</f>
        <v>0</v>
      </c>
      <c r="X110" s="6">
        <f>IFERROR((((X103/1.645)/Y53)),0)</f>
        <v>0</v>
      </c>
      <c r="Y110" s="6">
        <f>IFERROR((((Y103/1.645)/X53)),0)</f>
        <v>0</v>
      </c>
      <c r="Z110" s="6">
        <f>IFERROR((((Z103/1.645)/T53)),0)</f>
        <v>1.8237082066869301</v>
      </c>
    </row>
    <row r="111" spans="3:37">
      <c r="S111" s="33" t="s">
        <v>1</v>
      </c>
    </row>
    <row r="121" spans="3:11">
      <c r="C121" s="302" t="s">
        <v>2711</v>
      </c>
      <c r="D121" s="302"/>
      <c r="E121" s="302"/>
      <c r="F121" s="302"/>
      <c r="G121" s="302"/>
      <c r="H121" s="302"/>
      <c r="I121" s="302"/>
      <c r="J121" s="302"/>
      <c r="K121" s="302"/>
    </row>
    <row r="122" spans="3:11">
      <c r="C122" s="302"/>
      <c r="D122" s="302"/>
      <c r="E122" s="302"/>
      <c r="F122" s="302"/>
      <c r="G122" s="302"/>
      <c r="H122" s="302"/>
      <c r="I122" s="302"/>
      <c r="J122" s="302"/>
      <c r="K122" s="302"/>
    </row>
    <row r="124" spans="3:11" ht="18">
      <c r="C124" s="51" t="str">
        <f>"Chart 6. "&amp;City_label&amp;" renter households by race and cost burden, 2019"</f>
        <v>Chart 6. Entiat renter households by race and cost burden, 2019</v>
      </c>
    </row>
    <row r="144" spans="3:11">
      <c r="C144" s="302" t="s">
        <v>2711</v>
      </c>
      <c r="D144" s="302"/>
      <c r="E144" s="302"/>
      <c r="F144" s="302"/>
      <c r="G144" s="302"/>
      <c r="H144" s="302"/>
      <c r="I144" s="302"/>
      <c r="J144" s="302"/>
      <c r="K144" s="302"/>
    </row>
    <row r="145" spans="3:11">
      <c r="C145" s="302"/>
      <c r="D145" s="302"/>
      <c r="E145" s="302"/>
      <c r="F145" s="302"/>
      <c r="G145" s="302"/>
      <c r="H145" s="302"/>
      <c r="I145" s="302"/>
      <c r="J145" s="302"/>
      <c r="K145" s="302"/>
    </row>
    <row r="148" spans="3:11" ht="18">
      <c r="C148" s="51" t="str">
        <f>"Chart 6a. "&amp;City_label&amp;" renter households by race and cost burden, 2019"</f>
        <v>Chart 6a. Entiat renter households by race and cost burden, 2019</v>
      </c>
    </row>
    <row r="168" spans="3:19" ht="15">
      <c r="S168" s="39"/>
    </row>
    <row r="169" spans="3:19">
      <c r="C169" s="302" t="s">
        <v>2711</v>
      </c>
      <c r="D169" s="302"/>
      <c r="E169" s="302"/>
      <c r="F169" s="302"/>
      <c r="G169" s="302"/>
      <c r="H169" s="302"/>
      <c r="I169" s="302"/>
      <c r="J169" s="302"/>
      <c r="K169" s="302"/>
    </row>
    <row r="170" spans="3:19">
      <c r="C170" s="302"/>
      <c r="D170" s="302"/>
      <c r="E170" s="302"/>
      <c r="F170" s="302"/>
      <c r="G170" s="302"/>
      <c r="H170" s="302"/>
      <c r="I170" s="302"/>
      <c r="J170" s="302"/>
      <c r="K170" s="302"/>
    </row>
    <row r="171" spans="3:19" ht="19.5" customHeight="1"/>
    <row r="172" spans="3:19" ht="19.5" customHeight="1"/>
    <row r="173" spans="3:19" ht="21.75" customHeight="1">
      <c r="C173" s="303" t="str">
        <f>"Table 4. "&amp;City_label&amp;" percentage of households by housing cost burden, 2019"</f>
        <v>Table 4. Entiat percentage of households by housing cost burden, 2019</v>
      </c>
      <c r="D173" s="303"/>
      <c r="E173" s="303"/>
      <c r="F173" s="303"/>
      <c r="G173" s="303"/>
      <c r="H173" s="303"/>
      <c r="I173" s="303"/>
      <c r="J173" s="303"/>
      <c r="K173" s="303"/>
      <c r="L173" s="303"/>
    </row>
    <row r="174" spans="3:19" ht="21.75" customHeight="1">
      <c r="C174" s="303"/>
      <c r="D174" s="303"/>
      <c r="E174" s="303"/>
      <c r="F174" s="303"/>
      <c r="G174" s="303"/>
      <c r="H174" s="303"/>
      <c r="I174" s="303"/>
      <c r="J174" s="303"/>
      <c r="K174" s="303"/>
      <c r="L174" s="303"/>
    </row>
    <row r="175" spans="3:19" ht="15" thickBot="1"/>
    <row r="176" spans="3:19" ht="15">
      <c r="C176" s="83"/>
      <c r="D176" s="83"/>
      <c r="E176" s="83"/>
      <c r="F176" s="83"/>
      <c r="G176" s="123"/>
      <c r="H176" s="124" t="s">
        <v>2752</v>
      </c>
      <c r="I176" s="84"/>
      <c r="J176" s="84"/>
      <c r="K176" s="84"/>
    </row>
    <row r="177" spans="3:28">
      <c r="C177" s="81"/>
      <c r="D177" s="81"/>
      <c r="E177" s="80"/>
      <c r="F177" s="318" t="s">
        <v>2739</v>
      </c>
      <c r="G177" s="316" t="s">
        <v>2672</v>
      </c>
      <c r="H177" s="320" t="s">
        <v>2666</v>
      </c>
      <c r="I177" s="318" t="s">
        <v>2673</v>
      </c>
      <c r="J177" s="318" t="s">
        <v>2790</v>
      </c>
      <c r="K177" s="318" t="s">
        <v>2706</v>
      </c>
    </row>
    <row r="178" spans="3:28">
      <c r="C178" s="81"/>
      <c r="D178" s="81"/>
      <c r="E178" s="80"/>
      <c r="F178" s="318"/>
      <c r="G178" s="316"/>
      <c r="H178" s="320"/>
      <c r="I178" s="318"/>
      <c r="J178" s="318"/>
      <c r="K178" s="318"/>
    </row>
    <row r="179" spans="3:28">
      <c r="C179" s="66"/>
      <c r="D179" s="66"/>
      <c r="E179" s="74"/>
      <c r="F179" s="319"/>
      <c r="G179" s="317"/>
      <c r="H179" s="321"/>
      <c r="I179" s="319"/>
      <c r="J179" s="319"/>
      <c r="K179" s="319"/>
    </row>
    <row r="180" spans="3:28">
      <c r="C180" s="79" t="s">
        <v>2709</v>
      </c>
      <c r="D180" s="79"/>
      <c r="E180" s="79"/>
      <c r="F180" s="79"/>
      <c r="G180" s="79"/>
      <c r="H180" s="115"/>
      <c r="I180" s="79"/>
      <c r="J180" s="79"/>
      <c r="K180" s="79"/>
    </row>
    <row r="181" spans="3:28">
      <c r="C181" s="29" t="s">
        <v>12</v>
      </c>
      <c r="D181" s="29"/>
      <c r="E181" s="29"/>
      <c r="F181" s="116">
        <f>AJ50</f>
        <v>0.81196581196581197</v>
      </c>
      <c r="G181" s="116">
        <f>AK50</f>
        <v>0.72916666666666663</v>
      </c>
      <c r="H181" s="269" t="e">
        <f>AE50</f>
        <v>#DIV/0!</v>
      </c>
      <c r="I181" s="270" t="e">
        <f>AF50</f>
        <v>#DIV/0!</v>
      </c>
      <c r="J181" s="270">
        <f>AG50</f>
        <v>0.81632653061224492</v>
      </c>
      <c r="K181" s="270">
        <f>AH50</f>
        <v>0.78947368421052633</v>
      </c>
    </row>
    <row r="182" spans="3:28" ht="18.75" customHeight="1">
      <c r="C182" s="29" t="s">
        <v>2364</v>
      </c>
      <c r="D182" s="29"/>
      <c r="E182" s="29"/>
      <c r="F182" s="116">
        <f>AJ47</f>
        <v>0.15384615384615385</v>
      </c>
      <c r="G182" s="116">
        <f>AK47</f>
        <v>0.24305555555555555</v>
      </c>
      <c r="H182" s="269" t="str">
        <f>AE47</f>
        <v>0</v>
      </c>
      <c r="I182" s="270" t="str">
        <f>AF47</f>
        <v>0</v>
      </c>
      <c r="J182" s="270">
        <f>AG47</f>
        <v>0.14285714285714285</v>
      </c>
      <c r="K182" s="270">
        <f>AH47</f>
        <v>0.21052631578947367</v>
      </c>
    </row>
    <row r="183" spans="3:28" ht="18.75" customHeight="1">
      <c r="C183" s="121" t="s">
        <v>1981</v>
      </c>
      <c r="D183" s="118"/>
      <c r="E183" s="118"/>
      <c r="F183" s="122">
        <f>AJ51</f>
        <v>0.11965811965811966</v>
      </c>
      <c r="G183" s="122">
        <f>AK51</f>
        <v>0.12152777777777778</v>
      </c>
      <c r="H183" s="271" t="e">
        <f t="shared" ref="H183:K184" si="63">AE51</f>
        <v>#DIV/0!</v>
      </c>
      <c r="I183" s="272" t="e">
        <f t="shared" si="63"/>
        <v>#DIV/0!</v>
      </c>
      <c r="J183" s="272">
        <f t="shared" si="63"/>
        <v>0.10204081632653061</v>
      </c>
      <c r="K183" s="272">
        <f t="shared" si="63"/>
        <v>0.21052631578947367</v>
      </c>
    </row>
    <row r="184" spans="3:28">
      <c r="C184" s="121" t="s">
        <v>1982</v>
      </c>
      <c r="D184" s="118"/>
      <c r="E184" s="118"/>
      <c r="F184" s="122">
        <f>AJ52</f>
        <v>3.4188034188034191E-2</v>
      </c>
      <c r="G184" s="122">
        <f>AK52</f>
        <v>0.12152777777777778</v>
      </c>
      <c r="H184" s="271" t="e">
        <f t="shared" si="63"/>
        <v>#DIV/0!</v>
      </c>
      <c r="I184" s="272" t="e">
        <f t="shared" si="63"/>
        <v>#DIV/0!</v>
      </c>
      <c r="J184" s="272">
        <f t="shared" si="63"/>
        <v>4.0816326530612242E-2</v>
      </c>
      <c r="K184" s="272">
        <f t="shared" si="63"/>
        <v>0</v>
      </c>
    </row>
    <row r="185" spans="3:28">
      <c r="C185" s="29" t="s">
        <v>13</v>
      </c>
      <c r="D185" s="29"/>
      <c r="E185" s="29"/>
      <c r="F185" s="116">
        <f>AJ49</f>
        <v>3.4188034188034191E-2</v>
      </c>
      <c r="G185" s="116">
        <f>AK49</f>
        <v>2.7777777777777776E-2</v>
      </c>
      <c r="H185" s="269" t="e">
        <f>AE49</f>
        <v>#DIV/0!</v>
      </c>
      <c r="I185" s="270" t="e">
        <f>AF49</f>
        <v>#DIV/0!</v>
      </c>
      <c r="J185" s="270">
        <f>AG49</f>
        <v>4.0816326530612242E-2</v>
      </c>
      <c r="K185" s="270" t="str">
        <f>AH49</f>
        <v/>
      </c>
      <c r="AA185" s="82"/>
      <c r="AB185" s="82"/>
    </row>
    <row r="186" spans="3:28">
      <c r="C186" s="79" t="s">
        <v>2740</v>
      </c>
      <c r="D186" s="79"/>
      <c r="E186" s="79"/>
      <c r="F186" s="79"/>
      <c r="G186" s="79"/>
      <c r="H186" s="273"/>
      <c r="I186" s="274"/>
      <c r="J186" s="274"/>
      <c r="K186" s="274"/>
    </row>
    <row r="187" spans="3:28">
      <c r="C187" s="29" t="s">
        <v>12</v>
      </c>
      <c r="D187" s="29"/>
      <c r="E187" s="29"/>
      <c r="F187" s="116">
        <f>AJ59</f>
        <v>0.50847457627118642</v>
      </c>
      <c r="G187" s="116">
        <f>AK59</f>
        <v>0.73333333333333328</v>
      </c>
      <c r="H187" s="269" t="e">
        <f>AE59</f>
        <v>#DIV/0!</v>
      </c>
      <c r="I187" s="270" t="e">
        <f>AF59</f>
        <v>#DIV/0!</v>
      </c>
      <c r="J187" s="270">
        <f>AG59</f>
        <v>0.375</v>
      </c>
      <c r="K187" s="270">
        <f>AH59</f>
        <v>0.78947368421052633</v>
      </c>
      <c r="AA187" s="99"/>
      <c r="AB187" s="99"/>
    </row>
    <row r="188" spans="3:28" ht="14.25" customHeight="1">
      <c r="C188" s="29" t="s">
        <v>2364</v>
      </c>
      <c r="D188" s="29"/>
      <c r="E188" s="29"/>
      <c r="F188" s="116">
        <f>AJ56</f>
        <v>0.30508474576271188</v>
      </c>
      <c r="G188" s="116">
        <f>AK56</f>
        <v>0.24444444444444446</v>
      </c>
      <c r="H188" s="269" t="str">
        <f>AE56</f>
        <v>0%</v>
      </c>
      <c r="I188" s="270" t="str">
        <f>AF56</f>
        <v>0%</v>
      </c>
      <c r="J188" s="270">
        <f>AG56</f>
        <v>0.35</v>
      </c>
      <c r="K188" s="270">
        <f>AH56</f>
        <v>0.21052631578947367</v>
      </c>
      <c r="AA188" s="99"/>
      <c r="AB188" s="99"/>
    </row>
    <row r="189" spans="3:28" ht="14.25" customHeight="1">
      <c r="C189" s="121" t="s">
        <v>1981</v>
      </c>
      <c r="D189" s="118"/>
      <c r="E189" s="118"/>
      <c r="F189" s="122">
        <f>AJ60</f>
        <v>0.23728813559322035</v>
      </c>
      <c r="G189" s="122">
        <f>AK60</f>
        <v>8.8888888888888892E-2</v>
      </c>
      <c r="H189" s="271" t="e">
        <f t="shared" ref="H189:K190" si="64">AE60</f>
        <v>#DIV/0!</v>
      </c>
      <c r="I189" s="272" t="e">
        <f t="shared" si="64"/>
        <v>#DIV/0!</v>
      </c>
      <c r="J189" s="272">
        <f t="shared" si="64"/>
        <v>0.25</v>
      </c>
      <c r="K189" s="272">
        <f t="shared" si="64"/>
        <v>0.21052631578947367</v>
      </c>
      <c r="S189" s="99"/>
      <c r="T189" s="82"/>
    </row>
    <row r="190" spans="3:28" ht="14.25" customHeight="1">
      <c r="C190" s="121" t="s">
        <v>1982</v>
      </c>
      <c r="D190" s="118"/>
      <c r="E190" s="118"/>
      <c r="F190" s="122">
        <f>AJ61</f>
        <v>6.7796610169491525E-2</v>
      </c>
      <c r="G190" s="122">
        <f>AK61</f>
        <v>0.15555555555555556</v>
      </c>
      <c r="H190" s="271" t="e">
        <f t="shared" si="64"/>
        <v>#DIV/0!</v>
      </c>
      <c r="I190" s="272" t="e">
        <f t="shared" si="64"/>
        <v>#DIV/0!</v>
      </c>
      <c r="J190" s="272">
        <f t="shared" si="64"/>
        <v>0.1</v>
      </c>
      <c r="K190" s="272">
        <f t="shared" si="64"/>
        <v>0</v>
      </c>
      <c r="S190" s="99"/>
      <c r="U190" s="82"/>
      <c r="V190" s="82"/>
      <c r="W190" s="82"/>
      <c r="X190" s="82"/>
      <c r="Y190" s="82"/>
      <c r="Z190" s="82"/>
    </row>
    <row r="191" spans="3:28" ht="14.25" customHeight="1">
      <c r="C191" s="29" t="s">
        <v>13</v>
      </c>
      <c r="D191" s="29"/>
      <c r="E191" s="29"/>
      <c r="F191" s="116">
        <f>AJ58</f>
        <v>6.7796610169491525E-2</v>
      </c>
      <c r="G191" s="116">
        <f>AK58</f>
        <v>1.7777777777777778E-2</v>
      </c>
      <c r="H191" s="269" t="e">
        <f>AE58</f>
        <v>#DIV/0!</v>
      </c>
      <c r="I191" s="270" t="e">
        <f>AF58</f>
        <v>#DIV/0!</v>
      </c>
      <c r="J191" s="270">
        <f>AG58</f>
        <v>0.1</v>
      </c>
      <c r="K191" s="270" t="str">
        <f>AH58</f>
        <v/>
      </c>
      <c r="T191" s="99"/>
    </row>
    <row r="192" spans="3:28" ht="14.25" customHeight="1">
      <c r="C192" s="79" t="s">
        <v>4</v>
      </c>
      <c r="D192" s="79"/>
      <c r="E192" s="79"/>
      <c r="F192" s="79"/>
      <c r="G192" s="79"/>
      <c r="H192" s="273"/>
      <c r="I192" s="274"/>
      <c r="J192" s="274"/>
      <c r="K192" s="274"/>
      <c r="T192" s="99"/>
      <c r="U192" s="99"/>
      <c r="V192" s="99"/>
      <c r="W192" s="99"/>
      <c r="X192" s="99"/>
      <c r="Y192" s="99"/>
      <c r="Z192" s="99"/>
    </row>
    <row r="193" spans="3:26" ht="14.25" customHeight="1">
      <c r="C193" s="29" t="s">
        <v>12</v>
      </c>
      <c r="D193" s="29"/>
      <c r="E193" s="29"/>
      <c r="F193" s="116">
        <f>AJ68</f>
        <v>1</v>
      </c>
      <c r="G193" s="116">
        <f>AK68</f>
        <v>0.75</v>
      </c>
      <c r="H193" s="269" t="e">
        <f>AE68</f>
        <v>#DIV/0!</v>
      </c>
      <c r="I193" s="270" t="e">
        <f>AF68</f>
        <v>#DIV/0!</v>
      </c>
      <c r="J193" s="270">
        <f>AG68</f>
        <v>1</v>
      </c>
      <c r="K193" s="270" t="e">
        <f>AH68</f>
        <v>#DIV/0!</v>
      </c>
      <c r="U193" s="99"/>
      <c r="V193" s="99"/>
      <c r="W193" s="99"/>
      <c r="X193" s="99"/>
      <c r="Y193" s="99"/>
      <c r="Z193" s="99"/>
    </row>
    <row r="194" spans="3:26" ht="14.25" customHeight="1">
      <c r="C194" s="29" t="s">
        <v>2364</v>
      </c>
      <c r="D194" s="29"/>
      <c r="E194" s="29"/>
      <c r="F194" s="116" t="str">
        <f>AJ65</f>
        <v>0</v>
      </c>
      <c r="G194" s="116">
        <f>AK65</f>
        <v>0.25</v>
      </c>
      <c r="H194" s="269" t="str">
        <f>AE65</f>
        <v>0%</v>
      </c>
      <c r="I194" s="270" t="str">
        <f>AF65</f>
        <v>0%</v>
      </c>
      <c r="J194" s="270" t="str">
        <f>AG65</f>
        <v>0%</v>
      </c>
      <c r="K194" s="270" t="str">
        <f>AH65</f>
        <v>0%</v>
      </c>
    </row>
    <row r="195" spans="3:26" ht="14.25" customHeight="1">
      <c r="C195" s="121" t="s">
        <v>1981</v>
      </c>
      <c r="D195" s="118"/>
      <c r="E195" s="118"/>
      <c r="F195" s="122">
        <f>AJ69</f>
        <v>0</v>
      </c>
      <c r="G195" s="122">
        <f>AK69</f>
        <v>0.25</v>
      </c>
      <c r="H195" s="271" t="e">
        <f t="shared" ref="H195:K196" si="65">AE69</f>
        <v>#DIV/0!</v>
      </c>
      <c r="I195" s="272" t="e">
        <f t="shared" si="65"/>
        <v>#DIV/0!</v>
      </c>
      <c r="J195" s="272">
        <f t="shared" si="65"/>
        <v>0</v>
      </c>
      <c r="K195" s="272" t="e">
        <f t="shared" si="65"/>
        <v>#DIV/0!</v>
      </c>
    </row>
    <row r="196" spans="3:26">
      <c r="C196" s="121" t="s">
        <v>1982</v>
      </c>
      <c r="D196" s="118"/>
      <c r="E196" s="118"/>
      <c r="F196" s="122">
        <f>AJ70</f>
        <v>0</v>
      </c>
      <c r="G196" s="122">
        <f>AK70</f>
        <v>0</v>
      </c>
      <c r="H196" s="271" t="e">
        <f t="shared" si="65"/>
        <v>#DIV/0!</v>
      </c>
      <c r="I196" s="272" t="e">
        <f t="shared" si="65"/>
        <v>#DIV/0!</v>
      </c>
      <c r="J196" s="272">
        <f t="shared" si="65"/>
        <v>0</v>
      </c>
      <c r="K196" s="272" t="e">
        <f t="shared" si="65"/>
        <v>#DIV/0!</v>
      </c>
    </row>
    <row r="197" spans="3:26" ht="15" thickBot="1">
      <c r="C197" s="29" t="s">
        <v>13</v>
      </c>
      <c r="D197" s="29"/>
      <c r="E197" s="29"/>
      <c r="G197" s="116">
        <f>AK67</f>
        <v>6.6666666666666666E-2</v>
      </c>
      <c r="H197" s="275" t="e">
        <f>AE67</f>
        <v>#DIV/0!</v>
      </c>
      <c r="I197" s="276" t="e">
        <f>AF67</f>
        <v>#DIV/0!</v>
      </c>
      <c r="J197" s="276" t="e">
        <f>AH67</f>
        <v>#DIV/0!</v>
      </c>
      <c r="K197" s="276" t="str">
        <f>AG67</f>
        <v/>
      </c>
    </row>
    <row r="198" spans="3:26">
      <c r="C198" s="83"/>
      <c r="D198" s="83"/>
      <c r="E198" s="83"/>
      <c r="F198" s="83"/>
      <c r="G198" s="83"/>
      <c r="H198" s="83"/>
      <c r="I198" s="83"/>
      <c r="J198" s="83"/>
      <c r="K198" s="83"/>
    </row>
    <row r="199" spans="3:26">
      <c r="C199" s="302" t="s">
        <v>2711</v>
      </c>
      <c r="D199" s="302"/>
      <c r="E199" s="302"/>
      <c r="F199" s="302"/>
      <c r="G199" s="302"/>
      <c r="H199" s="302"/>
      <c r="I199" s="302"/>
      <c r="J199" s="302"/>
      <c r="K199" s="302"/>
    </row>
    <row r="200" spans="3:26" ht="14.25" customHeight="1">
      <c r="C200" s="302"/>
      <c r="D200" s="302"/>
      <c r="E200" s="302"/>
      <c r="F200" s="302"/>
      <c r="G200" s="302"/>
      <c r="H200" s="302"/>
      <c r="I200" s="302"/>
      <c r="J200" s="302"/>
      <c r="K200" s="302"/>
    </row>
    <row r="201" spans="3:26" ht="18" customHeight="1">
      <c r="D201" s="6"/>
      <c r="E201" s="6"/>
      <c r="F201" s="6"/>
      <c r="G201" s="6"/>
      <c r="H201" s="6"/>
      <c r="I201" s="6"/>
    </row>
    <row r="202" spans="3:26" ht="19.5" customHeight="1">
      <c r="C202" s="303" t="str">
        <f>"Chart 7. "&amp;City_label&amp;" percent of all households experiencing housing cost burden, 2019"</f>
        <v>Chart 7. Entiat percent of all households experiencing housing cost burden, 2019</v>
      </c>
      <c r="D202" s="303"/>
      <c r="E202" s="303"/>
      <c r="F202" s="303"/>
      <c r="G202" s="303"/>
      <c r="H202" s="303"/>
      <c r="I202" s="303"/>
      <c r="J202" s="303"/>
      <c r="K202" s="303"/>
      <c r="L202" s="303"/>
    </row>
    <row r="203" spans="3:26" ht="19.5" customHeight="1">
      <c r="C203" s="303"/>
      <c r="D203" s="303"/>
      <c r="E203" s="303"/>
      <c r="F203" s="303"/>
      <c r="G203" s="303"/>
      <c r="H203" s="303"/>
      <c r="I203" s="303"/>
      <c r="J203" s="303"/>
      <c r="K203" s="303"/>
      <c r="L203" s="303"/>
    </row>
    <row r="207" spans="3:26" ht="15">
      <c r="C207" s="39"/>
    </row>
    <row r="210" ht="12" customHeight="1"/>
    <row r="211" ht="18" customHeight="1"/>
    <row r="225" spans="3:13">
      <c r="C225" s="302" t="s">
        <v>2711</v>
      </c>
      <c r="D225" s="302"/>
      <c r="E225" s="302"/>
      <c r="F225" s="302"/>
      <c r="G225" s="302"/>
      <c r="H225" s="302"/>
      <c r="I225" s="302"/>
      <c r="J225" s="302"/>
      <c r="K225" s="302"/>
      <c r="L225" s="302"/>
    </row>
    <row r="226" spans="3:13" ht="14.25" customHeight="1">
      <c r="C226" s="302"/>
      <c r="D226" s="302"/>
      <c r="E226" s="302"/>
      <c r="F226" s="302"/>
      <c r="G226" s="302"/>
      <c r="H226" s="302"/>
      <c r="I226" s="302"/>
      <c r="J226" s="302"/>
      <c r="K226" s="302"/>
      <c r="L226" s="302"/>
    </row>
    <row r="227" spans="3:13" ht="19.5" customHeight="1">
      <c r="C227" s="277"/>
      <c r="D227" s="277"/>
      <c r="E227" s="277"/>
      <c r="F227" s="277"/>
      <c r="G227" s="277"/>
      <c r="H227" s="277"/>
      <c r="I227" s="277"/>
      <c r="J227" s="277"/>
      <c r="K227" s="277"/>
    </row>
    <row r="228" spans="3:13" ht="18" customHeight="1">
      <c r="C228" s="303" t="str">
        <f>"Chart 7a. "&amp;City_label&amp;" percent of all households experiencing housing cost burden, 2019"</f>
        <v>Chart 7a. Entiat percent of all households experiencing housing cost burden, 2019</v>
      </c>
      <c r="D228" s="303"/>
      <c r="E228" s="303"/>
      <c r="F228" s="303"/>
      <c r="G228" s="303"/>
      <c r="H228" s="303"/>
      <c r="I228" s="303"/>
      <c r="J228" s="303"/>
      <c r="K228" s="303"/>
      <c r="L228" s="303"/>
      <c r="M228" s="303"/>
    </row>
    <row r="229" spans="3:13" ht="18" customHeight="1">
      <c r="C229" s="303"/>
      <c r="D229" s="303"/>
      <c r="E229" s="303"/>
      <c r="F229" s="303"/>
      <c r="G229" s="303"/>
      <c r="H229" s="303"/>
      <c r="I229" s="303"/>
      <c r="J229" s="303"/>
      <c r="K229" s="303"/>
      <c r="L229" s="303"/>
      <c r="M229" s="303"/>
    </row>
    <row r="233" spans="3:13" ht="15">
      <c r="C233" s="39"/>
    </row>
    <row r="237" spans="3:13" ht="16.5" customHeight="1"/>
    <row r="238" spans="3:13" ht="16.5" customHeight="1"/>
    <row r="243" spans="3:13">
      <c r="C243" s="302" t="s">
        <v>2711</v>
      </c>
      <c r="D243" s="302"/>
      <c r="E243" s="302"/>
      <c r="F243" s="302"/>
      <c r="G243" s="302"/>
      <c r="H243" s="302"/>
      <c r="I243" s="302"/>
      <c r="J243" s="302"/>
      <c r="K243" s="302"/>
    </row>
    <row r="244" spans="3:13" ht="16.5" customHeight="1">
      <c r="C244" s="302"/>
      <c r="D244" s="302"/>
      <c r="E244" s="302"/>
      <c r="F244" s="302"/>
      <c r="G244" s="302"/>
      <c r="H244" s="302"/>
      <c r="I244" s="302"/>
      <c r="J244" s="302"/>
      <c r="K244" s="302"/>
    </row>
    <row r="245" spans="3:13" ht="16.5" customHeight="1"/>
    <row r="246" spans="3:13" ht="18.75" customHeight="1">
      <c r="C246" s="303" t="str">
        <f>"Chart 8. "&amp;City_label&amp;" percent owner households experiencing housing cost burden, 2019"</f>
        <v>Chart 8. Entiat percent owner households experiencing housing cost burden, 2019</v>
      </c>
      <c r="D246" s="303"/>
      <c r="E246" s="303"/>
      <c r="F246" s="303"/>
      <c r="G246" s="303"/>
      <c r="H246" s="303"/>
      <c r="I246" s="303"/>
      <c r="J246" s="303"/>
      <c r="K246" s="303"/>
      <c r="L246" s="303"/>
      <c r="M246" s="303"/>
    </row>
    <row r="247" spans="3:13" ht="18.75" customHeight="1">
      <c r="C247" s="303"/>
      <c r="D247" s="303"/>
      <c r="E247" s="303"/>
      <c r="F247" s="303"/>
      <c r="G247" s="303"/>
      <c r="H247" s="303"/>
      <c r="I247" s="303"/>
      <c r="J247" s="303"/>
      <c r="K247" s="303"/>
      <c r="L247" s="303"/>
      <c r="M247" s="303"/>
    </row>
    <row r="248" spans="3:13" ht="16.5" customHeight="1"/>
    <row r="249" spans="3:13" ht="16.5" customHeight="1">
      <c r="C249" s="39"/>
    </row>
    <row r="257" spans="3:13" ht="17.25" customHeight="1"/>
    <row r="267" spans="3:13">
      <c r="D267" s="82"/>
      <c r="E267" s="82"/>
      <c r="F267" s="82"/>
      <c r="G267" s="82"/>
      <c r="H267" s="82"/>
      <c r="I267" s="82"/>
      <c r="J267" s="82"/>
      <c r="K267" s="82"/>
      <c r="L267" s="82"/>
    </row>
    <row r="269" spans="3:13">
      <c r="C269" s="304" t="s">
        <v>2711</v>
      </c>
      <c r="D269" s="304"/>
      <c r="E269" s="304"/>
      <c r="F269" s="304"/>
      <c r="G269" s="304"/>
      <c r="H269" s="304"/>
      <c r="I269" s="304"/>
      <c r="J269" s="304"/>
      <c r="K269" s="304"/>
      <c r="L269" s="304"/>
    </row>
    <row r="270" spans="3:13" ht="20.25" customHeight="1">
      <c r="C270" s="304"/>
      <c r="D270" s="304"/>
      <c r="E270" s="304"/>
      <c r="F270" s="304"/>
      <c r="G270" s="304"/>
      <c r="H270" s="304"/>
      <c r="I270" s="304"/>
      <c r="J270" s="304"/>
      <c r="K270" s="304"/>
      <c r="L270" s="304"/>
    </row>
    <row r="271" spans="3:13" ht="20.25" customHeight="1"/>
    <row r="272" spans="3:13" ht="18" customHeight="1">
      <c r="C272" s="303" t="str">
        <f>"Chart 8a. "&amp;City_label&amp;" percent owner households experiencing housing cost burden, 2019"</f>
        <v>Chart 8a. Entiat percent owner households experiencing housing cost burden, 2019</v>
      </c>
      <c r="D272" s="303"/>
      <c r="E272" s="303"/>
      <c r="F272" s="303"/>
      <c r="G272" s="303"/>
      <c r="H272" s="303"/>
      <c r="I272" s="303"/>
      <c r="J272" s="303"/>
      <c r="K272" s="303"/>
      <c r="L272" s="303"/>
      <c r="M272" s="303"/>
    </row>
    <row r="273" spans="3:13" ht="18" customHeight="1">
      <c r="C273" s="303"/>
      <c r="D273" s="303"/>
      <c r="E273" s="303"/>
      <c r="F273" s="303"/>
      <c r="G273" s="303"/>
      <c r="H273" s="303"/>
      <c r="I273" s="303"/>
      <c r="J273" s="303"/>
      <c r="K273" s="303"/>
      <c r="L273" s="303"/>
      <c r="M273" s="303"/>
    </row>
    <row r="274" spans="3:13" ht="18.75" customHeight="1"/>
    <row r="275" spans="3:13" ht="18.75" customHeight="1">
      <c r="C275" s="39"/>
    </row>
    <row r="283" spans="3:13" ht="19.5" customHeight="1"/>
    <row r="284" spans="3:13" ht="19.5" customHeight="1"/>
    <row r="288" spans="3:13">
      <c r="C288" s="304" t="s">
        <v>2711</v>
      </c>
      <c r="D288" s="304"/>
      <c r="E288" s="304"/>
      <c r="F288" s="304"/>
      <c r="G288" s="304"/>
      <c r="H288" s="304"/>
      <c r="I288" s="304"/>
      <c r="J288" s="304"/>
      <c r="K288" s="304"/>
      <c r="L288" s="304"/>
    </row>
    <row r="289" spans="3:13" ht="19.5" customHeight="1">
      <c r="C289" s="304"/>
      <c r="D289" s="304"/>
      <c r="E289" s="304"/>
      <c r="F289" s="304"/>
      <c r="G289" s="304"/>
      <c r="H289" s="304"/>
      <c r="I289" s="304"/>
      <c r="J289" s="304"/>
      <c r="K289" s="304"/>
      <c r="L289" s="304"/>
    </row>
    <row r="290" spans="3:13" ht="19.5" customHeight="1">
      <c r="C290" s="99"/>
      <c r="D290" s="99"/>
      <c r="E290" s="99"/>
      <c r="F290" s="99"/>
      <c r="G290" s="99"/>
      <c r="H290" s="99"/>
      <c r="I290" s="99"/>
      <c r="J290" s="99"/>
      <c r="K290" s="99"/>
      <c r="L290" s="99"/>
    </row>
    <row r="291" spans="3:13" ht="19.5" customHeight="1">
      <c r="C291" s="303" t="str">
        <f>"Chart 9. "&amp;City_label&amp;" percent renter households experiencing housing cost burden, 2019"</f>
        <v>Chart 9. Entiat percent renter households experiencing housing cost burden, 2019</v>
      </c>
      <c r="D291" s="303"/>
      <c r="E291" s="303"/>
      <c r="F291" s="303"/>
      <c r="G291" s="303"/>
      <c r="H291" s="303"/>
      <c r="I291" s="303"/>
      <c r="J291" s="303"/>
      <c r="K291" s="303"/>
      <c r="L291" s="303"/>
      <c r="M291" s="303"/>
    </row>
    <row r="292" spans="3:13" ht="19.5" customHeight="1">
      <c r="C292" s="303"/>
      <c r="D292" s="303"/>
      <c r="E292" s="303"/>
      <c r="F292" s="303"/>
      <c r="G292" s="303"/>
      <c r="H292" s="303"/>
      <c r="I292" s="303"/>
      <c r="J292" s="303"/>
      <c r="K292" s="303"/>
      <c r="L292" s="303"/>
      <c r="M292" s="303"/>
    </row>
    <row r="293" spans="3:13" ht="16.5" customHeight="1">
      <c r="C293" s="39"/>
    </row>
    <row r="294" spans="3:13" ht="16.5" customHeight="1"/>
    <row r="302" spans="3:13" ht="18" customHeight="1"/>
    <row r="314" spans="3:13">
      <c r="C314" s="302" t="s">
        <v>2711</v>
      </c>
      <c r="D314" s="302"/>
      <c r="E314" s="302"/>
      <c r="F314" s="302"/>
      <c r="G314" s="302"/>
      <c r="H314" s="302"/>
      <c r="I314" s="302"/>
      <c r="J314" s="302"/>
      <c r="K314" s="302"/>
    </row>
    <row r="315" spans="3:13" ht="21.75" customHeight="1">
      <c r="C315" s="302"/>
      <c r="D315" s="302"/>
      <c r="E315" s="302"/>
      <c r="F315" s="302"/>
      <c r="G315" s="302"/>
      <c r="H315" s="302"/>
      <c r="I315" s="302"/>
      <c r="J315" s="302"/>
      <c r="K315" s="302"/>
    </row>
    <row r="316" spans="3:13" ht="21.75" customHeight="1"/>
    <row r="317" spans="3:13" ht="18.75" customHeight="1">
      <c r="C317" s="303" t="str">
        <f>"Chart 9a. "&amp;City_label&amp;" percent renter households experiencing housing cost burden, 2019"</f>
        <v>Chart 9a. Entiat percent renter households experiencing housing cost burden, 2019</v>
      </c>
      <c r="D317" s="303"/>
      <c r="E317" s="303"/>
      <c r="F317" s="303"/>
      <c r="G317" s="303"/>
      <c r="H317" s="303"/>
      <c r="I317" s="303"/>
      <c r="J317" s="303"/>
      <c r="K317" s="303"/>
      <c r="L317" s="303"/>
      <c r="M317" s="303"/>
    </row>
    <row r="318" spans="3:13" ht="18.75" customHeight="1">
      <c r="C318" s="303"/>
      <c r="D318" s="303"/>
      <c r="E318" s="303"/>
      <c r="F318" s="303"/>
      <c r="G318" s="303"/>
      <c r="H318" s="303"/>
      <c r="I318" s="303"/>
      <c r="J318" s="303"/>
      <c r="K318" s="303"/>
      <c r="L318" s="303"/>
      <c r="M318" s="303"/>
    </row>
    <row r="319" spans="3:13" ht="18.75" customHeight="1">
      <c r="C319" s="39"/>
    </row>
    <row r="320" spans="3:13" ht="18.75" customHeight="1"/>
    <row r="328" spans="3:11" ht="18" customHeight="1"/>
    <row r="333" spans="3:11">
      <c r="C333" s="302" t="s">
        <v>2711</v>
      </c>
      <c r="D333" s="302"/>
      <c r="E333" s="302"/>
      <c r="F333" s="302"/>
      <c r="G333" s="302"/>
      <c r="H333" s="302"/>
      <c r="I333" s="302"/>
      <c r="J333" s="302"/>
      <c r="K333" s="302"/>
    </row>
    <row r="334" spans="3:11">
      <c r="C334" s="302"/>
      <c r="D334" s="302"/>
      <c r="E334" s="302"/>
      <c r="F334" s="302"/>
      <c r="G334" s="302"/>
      <c r="H334" s="302"/>
      <c r="I334" s="302"/>
      <c r="J334" s="302"/>
      <c r="K334" s="302"/>
    </row>
  </sheetData>
  <mergeCells count="84">
    <mergeCell ref="U6:U9"/>
    <mergeCell ref="C29:M30"/>
    <mergeCell ref="C173:L174"/>
    <mergeCell ref="C202:L203"/>
    <mergeCell ref="C228:M229"/>
    <mergeCell ref="C100:M101"/>
    <mergeCell ref="C225:L226"/>
    <mergeCell ref="C121:K122"/>
    <mergeCell ref="C169:K170"/>
    <mergeCell ref="C144:K145"/>
    <mergeCell ref="T6:T9"/>
    <mergeCell ref="I6:I8"/>
    <mergeCell ref="J6:J8"/>
    <mergeCell ref="L6:L8"/>
    <mergeCell ref="C53:M54"/>
    <mergeCell ref="C76:M77"/>
    <mergeCell ref="BG9:BI10"/>
    <mergeCell ref="BG12:BI13"/>
    <mergeCell ref="BG15:BI16"/>
    <mergeCell ref="AD7:AD9"/>
    <mergeCell ref="AF7:AF9"/>
    <mergeCell ref="AK7:AK9"/>
    <mergeCell ref="AG7:AG9"/>
    <mergeCell ref="AE7:AE9"/>
    <mergeCell ref="AQ6:AS7"/>
    <mergeCell ref="AT6:AV7"/>
    <mergeCell ref="AW6:AY7"/>
    <mergeCell ref="AZ6:BB7"/>
    <mergeCell ref="BG6:BI7"/>
    <mergeCell ref="G177:G179"/>
    <mergeCell ref="F177:F179"/>
    <mergeCell ref="H177:H179"/>
    <mergeCell ref="I177:I179"/>
    <mergeCell ref="K177:K179"/>
    <mergeCell ref="J177:J179"/>
    <mergeCell ref="M6:M8"/>
    <mergeCell ref="C97:K98"/>
    <mergeCell ref="C25:K26"/>
    <mergeCell ref="C50:K51"/>
    <mergeCell ref="C73:K74"/>
    <mergeCell ref="K6:K8"/>
    <mergeCell ref="F6:F8"/>
    <mergeCell ref="G6:G8"/>
    <mergeCell ref="H6:H8"/>
    <mergeCell ref="C288:L289"/>
    <mergeCell ref="C333:K334"/>
    <mergeCell ref="C199:K200"/>
    <mergeCell ref="C314:K315"/>
    <mergeCell ref="C269:L270"/>
    <mergeCell ref="C246:M247"/>
    <mergeCell ref="C272:M273"/>
    <mergeCell ref="C291:M292"/>
    <mergeCell ref="C317:M318"/>
    <mergeCell ref="C243:K244"/>
    <mergeCell ref="AE19:AE21"/>
    <mergeCell ref="AF19:AF21"/>
    <mergeCell ref="AG19:AG21"/>
    <mergeCell ref="AH19:AH21"/>
    <mergeCell ref="AH7:AH9"/>
    <mergeCell ref="AA6:AA9"/>
    <mergeCell ref="V6:V9"/>
    <mergeCell ref="W6:W9"/>
    <mergeCell ref="X6:X9"/>
    <mergeCell ref="Y6:Y9"/>
    <mergeCell ref="Z6:Z9"/>
    <mergeCell ref="AI19:AI21"/>
    <mergeCell ref="AJ19:AJ21"/>
    <mergeCell ref="AK19:AK21"/>
    <mergeCell ref="AJ7:AJ9"/>
    <mergeCell ref="AI7:AI9"/>
    <mergeCell ref="AJ30:AJ32"/>
    <mergeCell ref="AK30:AK32"/>
    <mergeCell ref="AE43:AE45"/>
    <mergeCell ref="AF43:AF45"/>
    <mergeCell ref="AG43:AG45"/>
    <mergeCell ref="AH43:AH45"/>
    <mergeCell ref="AI43:AI45"/>
    <mergeCell ref="AJ43:AJ45"/>
    <mergeCell ref="AK43:AK45"/>
    <mergeCell ref="AE30:AE32"/>
    <mergeCell ref="AF30:AF32"/>
    <mergeCell ref="AG30:AG32"/>
    <mergeCell ref="AH30:AH32"/>
    <mergeCell ref="AI30:AI32"/>
  </mergeCells>
  <pageMargins left="0.7" right="0.7" top="0.75" bottom="0.75" header="0.3" footer="0.3"/>
  <pageSetup scale="95" fitToHeight="0" orientation="portrait" r:id="rId1"/>
  <rowBreaks count="6" manualBreakCount="6">
    <brk id="28" min="2" max="12" man="1"/>
    <brk id="74" min="2" max="12" man="1"/>
    <brk id="122" min="2" max="12" man="1"/>
    <brk id="201" min="2" max="12" man="1"/>
    <brk id="245" min="2" max="12" man="1"/>
    <brk id="289" min="2" max="12" man="1"/>
  </rowBreaks>
  <drawing r:id="rId2"/>
  <extLst>
    <ext xmlns:x14="http://schemas.microsoft.com/office/spreadsheetml/2009/9/main" uri="{78C0D931-6437-407d-A8EE-F0AAD7539E65}">
      <x14:conditionalFormattings>
        <x14:conditionalFormatting xmlns:xm="http://schemas.microsoft.com/office/excel/2006/main">
          <x14:cfRule type="cellIs" priority="2" operator="greaterThan" id="{15C7A22C-16D4-4442-A0C0-31DA93A14F9D}">
            <xm:f>Inputs!$C$17</xm:f>
            <x14:dxf>
              <fill>
                <patternFill>
                  <bgColor theme="5" tint="0.79998168889431442"/>
                </patternFill>
              </fill>
            </x14:dxf>
          </x14:cfRule>
          <xm:sqref>T107:Z110 T83:Z87</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5" tint="0.39997558519241921"/>
    <pageSetUpPr fitToPage="1"/>
  </sheetPr>
  <dimension ref="C2:BS213"/>
  <sheetViews>
    <sheetView zoomScale="80" zoomScaleNormal="80" workbookViewId="0">
      <selection activeCell="AC55" sqref="AC55:AE60"/>
    </sheetView>
  </sheetViews>
  <sheetFormatPr defaultRowHeight="14.25"/>
  <cols>
    <col min="1" max="2" width="4.25" customWidth="1"/>
    <col min="5" max="5" width="10.125" customWidth="1"/>
    <col min="6" max="6" width="10.875" customWidth="1"/>
    <col min="7" max="7" width="7.875" customWidth="1"/>
    <col min="8" max="8" width="2" customWidth="1"/>
    <col min="9" max="9" width="10.75" bestFit="1" customWidth="1"/>
    <col min="10" max="10" width="7.875" customWidth="1"/>
    <col min="11" max="11" width="10.75" bestFit="1" customWidth="1"/>
    <col min="12" max="12" width="7.875" customWidth="1"/>
    <col min="17" max="26" width="4.625" customWidth="1"/>
    <col min="27" max="27" width="25.375" customWidth="1"/>
    <col min="28" max="28" width="14.125" customWidth="1"/>
    <col min="29" max="35" width="19.25" customWidth="1"/>
    <col min="36" max="36" width="35.25" customWidth="1"/>
    <col min="37" max="37" width="16.25" customWidth="1"/>
    <col min="38" max="38" width="15.75" customWidth="1"/>
    <col min="39" max="39" width="7.125" customWidth="1"/>
    <col min="40" max="41" width="12.25" customWidth="1"/>
    <col min="42" max="47" width="14.125" customWidth="1"/>
    <col min="48" max="48" width="14.125" hidden="1" customWidth="1"/>
    <col min="49" max="49" width="9" hidden="1" customWidth="1"/>
    <col min="50" max="51" width="0" hidden="1" customWidth="1"/>
    <col min="53" max="63" width="3.25" customWidth="1"/>
    <col min="64" max="64" width="4.625" customWidth="1"/>
    <col min="65" max="67" width="3.25" customWidth="1"/>
    <col min="68" max="68" width="9.125" customWidth="1"/>
    <col min="69" max="69" width="13.625" customWidth="1"/>
    <col min="70" max="70" width="14.5" customWidth="1"/>
    <col min="71" max="71" width="14.125" customWidth="1"/>
  </cols>
  <sheetData>
    <row r="2" spans="3:70">
      <c r="BP2" s="185"/>
      <c r="BQ2" s="185"/>
      <c r="BR2" s="185"/>
    </row>
    <row r="3" spans="3:70" ht="33.75" customHeight="1" thickBot="1">
      <c r="C3" s="4" t="s">
        <v>2698</v>
      </c>
      <c r="D3" s="4"/>
      <c r="E3" s="4"/>
      <c r="F3" s="4"/>
      <c r="G3" s="4"/>
      <c r="H3" s="4"/>
      <c r="I3" s="4"/>
      <c r="J3" s="4"/>
      <c r="K3" s="4"/>
      <c r="L3" s="4"/>
      <c r="M3" s="4"/>
      <c r="N3" s="4"/>
      <c r="O3" s="4"/>
      <c r="P3" s="4"/>
      <c r="AA3" s="4" t="s">
        <v>2745</v>
      </c>
      <c r="AB3" s="4"/>
      <c r="AC3" s="4"/>
      <c r="AD3" s="14"/>
      <c r="AE3" s="14"/>
      <c r="AF3" s="14"/>
      <c r="AG3" s="14"/>
      <c r="AH3" s="14"/>
      <c r="AI3" s="14"/>
      <c r="AJ3" s="14"/>
      <c r="AK3" s="14"/>
      <c r="AL3" s="14"/>
      <c r="AM3" s="14"/>
      <c r="AN3" s="14"/>
      <c r="AO3" s="14"/>
      <c r="AP3" s="14"/>
      <c r="AQ3" s="14"/>
      <c r="AR3" s="14"/>
      <c r="AS3" s="14"/>
      <c r="AT3" s="14"/>
      <c r="AU3" s="14"/>
      <c r="BA3" s="4" t="s">
        <v>2819</v>
      </c>
      <c r="BB3" s="4"/>
      <c r="BC3" s="4"/>
      <c r="BD3" s="4"/>
      <c r="BE3" s="4"/>
      <c r="BF3" s="4"/>
      <c r="BG3" s="4"/>
      <c r="BH3" s="4"/>
      <c r="BI3" s="4"/>
      <c r="BJ3" s="4"/>
      <c r="BK3" s="4"/>
      <c r="BL3" s="4"/>
      <c r="BP3" s="185"/>
      <c r="BQ3" s="325" t="s">
        <v>2794</v>
      </c>
      <c r="BR3" s="326"/>
    </row>
    <row r="4" spans="3:70" ht="15" thickTop="1">
      <c r="BP4" s="185"/>
      <c r="BQ4" s="327" t="s">
        <v>2795</v>
      </c>
      <c r="BR4" s="328"/>
    </row>
    <row r="5" spans="3:70" ht="18" customHeight="1">
      <c r="C5" s="340" t="str">
        <f>"Table 5. "&amp;City_label&amp;" and "&amp;County_label&amp;" rental units by affordability and households by income, 2019"</f>
        <v>Table 5. Entiat and Chelan County rental units by affordability and households by income, 2019</v>
      </c>
      <c r="D5" s="340"/>
      <c r="E5" s="340"/>
      <c r="F5" s="340"/>
      <c r="G5" s="340"/>
      <c r="H5" s="340"/>
      <c r="I5" s="340"/>
      <c r="J5" s="340"/>
      <c r="K5" s="340"/>
      <c r="L5" s="340"/>
      <c r="AA5" s="16" t="s">
        <v>2702</v>
      </c>
      <c r="AB5" s="297" t="str">
        <f>City</f>
        <v>Entiat city, Washington</v>
      </c>
      <c r="AC5" s="297"/>
      <c r="BP5" s="201"/>
      <c r="BQ5" s="329"/>
      <c r="BR5" s="330"/>
    </row>
    <row r="6" spans="3:70" ht="18" customHeight="1">
      <c r="C6" s="340"/>
      <c r="D6" s="340"/>
      <c r="E6" s="340"/>
      <c r="F6" s="340"/>
      <c r="G6" s="340"/>
      <c r="H6" s="340"/>
      <c r="I6" s="340"/>
      <c r="J6" s="340"/>
      <c r="K6" s="340"/>
      <c r="L6" s="340"/>
      <c r="AA6" s="16" t="s">
        <v>2703</v>
      </c>
      <c r="AB6" s="297" t="str">
        <f>County</f>
        <v>Chelan County, Washington</v>
      </c>
      <c r="AC6" s="297"/>
      <c r="BB6" s="198"/>
      <c r="BE6" s="196"/>
      <c r="BH6" s="197"/>
      <c r="BK6" s="199"/>
      <c r="BP6" s="185"/>
      <c r="BQ6" s="186"/>
      <c r="BR6" s="187"/>
    </row>
    <row r="7" spans="3:70" ht="18" customHeight="1" thickBot="1">
      <c r="C7" s="51"/>
      <c r="AA7" s="16"/>
      <c r="BA7" s="324" t="s">
        <v>2827</v>
      </c>
      <c r="BB7" s="324"/>
      <c r="BC7" s="324"/>
      <c r="BD7" s="324" t="s">
        <v>2828</v>
      </c>
      <c r="BE7" s="324"/>
      <c r="BF7" s="324"/>
      <c r="BG7" s="324" t="s">
        <v>2829</v>
      </c>
      <c r="BH7" s="324"/>
      <c r="BI7" s="324"/>
      <c r="BJ7" s="324" t="s">
        <v>2830</v>
      </c>
      <c r="BK7" s="324"/>
      <c r="BL7" s="324"/>
    </row>
    <row r="8" spans="3:70" ht="19.5" customHeight="1">
      <c r="C8" s="217"/>
      <c r="D8" s="218"/>
      <c r="E8" s="218"/>
      <c r="F8" s="65" t="str">
        <f>City_label</f>
        <v>Entiat</v>
      </c>
      <c r="G8" s="219"/>
      <c r="H8" s="218"/>
      <c r="I8" s="65" t="str">
        <f>City_label</f>
        <v>Entiat</v>
      </c>
      <c r="J8" s="219"/>
      <c r="K8" s="65" t="str">
        <f>County_label</f>
        <v>Chelan County</v>
      </c>
      <c r="L8" s="219"/>
      <c r="AA8" s="162" t="s">
        <v>2823</v>
      </c>
      <c r="BA8" s="324"/>
      <c r="BB8" s="324"/>
      <c r="BC8" s="324"/>
      <c r="BD8" s="324"/>
      <c r="BE8" s="324"/>
      <c r="BF8" s="324"/>
      <c r="BG8" s="324"/>
      <c r="BH8" s="324"/>
      <c r="BI8" s="324"/>
      <c r="BJ8" s="324"/>
      <c r="BK8" s="324"/>
      <c r="BL8" s="324"/>
    </row>
    <row r="9" spans="3:70" ht="19.5" customHeight="1">
      <c r="C9" s="262"/>
      <c r="D9" s="29"/>
      <c r="E9" s="29"/>
      <c r="F9" s="338" t="s">
        <v>1894</v>
      </c>
      <c r="G9" s="338" t="s">
        <v>2760</v>
      </c>
      <c r="H9" s="29"/>
      <c r="I9" s="338" t="s">
        <v>1894</v>
      </c>
      <c r="J9" s="338" t="s">
        <v>2760</v>
      </c>
      <c r="K9" s="338" t="s">
        <v>1894</v>
      </c>
      <c r="L9" s="338" t="s">
        <v>2760</v>
      </c>
      <c r="AA9" s="59" t="s">
        <v>2724</v>
      </c>
      <c r="AC9" s="57" t="s">
        <v>2754</v>
      </c>
      <c r="AD9" s="57" t="s">
        <v>2755</v>
      </c>
      <c r="AE9" s="57" t="s">
        <v>2825</v>
      </c>
      <c r="AF9" s="57" t="s">
        <v>2756</v>
      </c>
      <c r="AG9" s="57" t="s">
        <v>2757</v>
      </c>
      <c r="AJ9" s="162" t="s">
        <v>2826</v>
      </c>
    </row>
    <row r="10" spans="3:70" ht="16.5" customHeight="1">
      <c r="C10" s="70"/>
      <c r="D10" s="70"/>
      <c r="E10" s="70"/>
      <c r="F10" s="339"/>
      <c r="G10" s="339"/>
      <c r="H10" s="70"/>
      <c r="I10" s="339"/>
      <c r="J10" s="339"/>
      <c r="K10" s="339"/>
      <c r="L10" s="339"/>
      <c r="AC10" s="63" t="str">
        <f>City_label</f>
        <v>Entiat</v>
      </c>
      <c r="AD10" s="63"/>
      <c r="AE10" s="220"/>
      <c r="AF10" s="63" t="str">
        <f>County_label</f>
        <v>Chelan County</v>
      </c>
      <c r="AG10" s="63"/>
      <c r="AH10" s="220"/>
      <c r="AK10" s="63" t="str">
        <f>City_label</f>
        <v>Entiat</v>
      </c>
      <c r="AL10" s="63"/>
      <c r="AM10" s="16"/>
      <c r="AN10" s="63" t="str">
        <f>County_label</f>
        <v>Chelan County</v>
      </c>
      <c r="AO10" s="63"/>
      <c r="BA10" s="324"/>
      <c r="BB10" s="324"/>
      <c r="BC10" s="324"/>
      <c r="BD10" s="324"/>
      <c r="BE10" s="324"/>
      <c r="BF10" s="324"/>
      <c r="BG10" s="324"/>
      <c r="BH10" s="324"/>
      <c r="BI10" s="324"/>
      <c r="BJ10" s="324"/>
      <c r="BK10" s="324"/>
      <c r="BL10" s="324"/>
      <c r="BM10" s="205"/>
    </row>
    <row r="11" spans="3:70" ht="18" customHeight="1">
      <c r="C11" s="43" t="s">
        <v>2406</v>
      </c>
      <c r="D11" s="29"/>
      <c r="E11" s="29"/>
      <c r="F11" s="208">
        <f t="shared" ref="F11:F16" si="0">AC22</f>
        <v>4</v>
      </c>
      <c r="G11" s="208">
        <f>SUM(AD22:AE22)</f>
        <v>20</v>
      </c>
      <c r="H11" s="209"/>
      <c r="I11" s="255">
        <f>AC22/$AC$27</f>
        <v>3.0769230769230771E-2</v>
      </c>
      <c r="J11" s="255">
        <f>SUM(AD22:AE22)/SUM($AD$27:$AE$27)</f>
        <v>0.15384615384615385</v>
      </c>
      <c r="K11" s="263">
        <f>AF22/$AF$27</f>
        <v>0.13960396039603962</v>
      </c>
      <c r="L11" s="263">
        <f>SUM(AG22:AH22)/SUM($AG$27:$AH$27)</f>
        <v>0.1982276119402985</v>
      </c>
      <c r="AC11" s="16" t="s">
        <v>2680</v>
      </c>
      <c r="AD11" s="16" t="s">
        <v>2681</v>
      </c>
      <c r="AE11" s="16" t="s">
        <v>2824</v>
      </c>
      <c r="AF11" s="16" t="s">
        <v>2680</v>
      </c>
      <c r="AG11" s="16" t="s">
        <v>2681</v>
      </c>
      <c r="AH11" s="16" t="s">
        <v>2824</v>
      </c>
      <c r="AK11" s="16" t="s">
        <v>2680</v>
      </c>
      <c r="AL11" s="16" t="s">
        <v>2681</v>
      </c>
      <c r="AM11" s="16"/>
      <c r="AN11" s="16" t="s">
        <v>2680</v>
      </c>
      <c r="AO11" s="16" t="s">
        <v>2681</v>
      </c>
      <c r="BA11" s="324"/>
      <c r="BB11" s="324"/>
      <c r="BC11" s="324"/>
      <c r="BD11" s="324"/>
      <c r="BE11" s="324"/>
      <c r="BF11" s="324"/>
      <c r="BG11" s="324"/>
      <c r="BH11" s="324"/>
      <c r="BI11" s="324"/>
      <c r="BJ11" s="324"/>
      <c r="BK11" s="324"/>
      <c r="BL11" s="324"/>
    </row>
    <row r="12" spans="3:70" ht="18" customHeight="1">
      <c r="C12" s="43" t="s">
        <v>2405</v>
      </c>
      <c r="D12" s="29"/>
      <c r="E12" s="29"/>
      <c r="F12" s="208">
        <f t="shared" si="0"/>
        <v>10</v>
      </c>
      <c r="G12" s="208">
        <f t="shared" ref="G12:G14" si="1">SUM(AD23:AE23)</f>
        <v>20</v>
      </c>
      <c r="H12" s="209"/>
      <c r="I12" s="255">
        <f t="shared" ref="I12:I15" si="2">AC23/$AC$27</f>
        <v>7.6923076923076927E-2</v>
      </c>
      <c r="J12" s="255">
        <f t="shared" ref="J12:J14" si="3">SUM(AD23:AE23)/SUM($AD$27:$AE$27)</f>
        <v>0.15384615384615385</v>
      </c>
      <c r="K12" s="263">
        <f t="shared" ref="K12:K15" si="4">AF23/$AF$27</f>
        <v>0.19603960396039605</v>
      </c>
      <c r="L12" s="263">
        <f t="shared" ref="L12:L14" si="5">SUM(AG23:AH23)/SUM($AG$27:$AH$27)</f>
        <v>0.26865671641791045</v>
      </c>
      <c r="AA12" s="7" t="s">
        <v>2827</v>
      </c>
      <c r="AC12" s="112" t="s">
        <v>7</v>
      </c>
      <c r="AD12" s="112" t="s">
        <v>1255</v>
      </c>
      <c r="AE12" s="112" t="s">
        <v>2413</v>
      </c>
      <c r="AF12" s="112" t="s">
        <v>7</v>
      </c>
      <c r="AG12" s="112" t="s">
        <v>1255</v>
      </c>
      <c r="AH12" s="112" t="s">
        <v>2413</v>
      </c>
      <c r="AJ12" s="7" t="s">
        <v>2827</v>
      </c>
      <c r="AK12" s="222">
        <f>AC22/$AC$27</f>
        <v>3.0769230769230771E-2</v>
      </c>
      <c r="AL12" s="222">
        <f>SUM(AD22:AE22)/SUM($AD$27:$AE$27)</f>
        <v>0.15384615384615385</v>
      </c>
      <c r="AN12" s="222">
        <f>AF22/AF$27</f>
        <v>0.13960396039603962</v>
      </c>
      <c r="AO12" s="222">
        <f>SUM(AG22:AH22)/SUM($AG$27:$AH$27)</f>
        <v>0.1982276119402985</v>
      </c>
      <c r="BA12" s="324"/>
      <c r="BB12" s="324"/>
      <c r="BC12" s="324"/>
      <c r="BD12" s="324"/>
      <c r="BE12" s="324"/>
      <c r="BF12" s="324"/>
      <c r="BG12" s="324"/>
      <c r="BH12" s="324"/>
      <c r="BI12" s="324"/>
      <c r="BJ12" s="324"/>
      <c r="BK12" s="324"/>
      <c r="BL12" s="324"/>
    </row>
    <row r="13" spans="3:70" ht="18" customHeight="1">
      <c r="C13" s="43" t="s">
        <v>1980</v>
      </c>
      <c r="D13" s="29"/>
      <c r="E13" s="29"/>
      <c r="F13" s="208">
        <f t="shared" si="0"/>
        <v>20</v>
      </c>
      <c r="G13" s="208">
        <f t="shared" si="1"/>
        <v>65</v>
      </c>
      <c r="H13" s="209"/>
      <c r="I13" s="255">
        <f t="shared" si="2"/>
        <v>0.15384615384615385</v>
      </c>
      <c r="J13" s="255">
        <f t="shared" si="3"/>
        <v>0.5</v>
      </c>
      <c r="K13" s="263">
        <f t="shared" si="4"/>
        <v>0.24801980198019802</v>
      </c>
      <c r="L13" s="263">
        <f t="shared" si="5"/>
        <v>0.38432835820895522</v>
      </c>
      <c r="AA13" s="7" t="s">
        <v>2828</v>
      </c>
      <c r="AC13" s="112" t="s">
        <v>8</v>
      </c>
      <c r="AD13" s="112" t="s">
        <v>1256</v>
      </c>
      <c r="AE13" s="112" t="s">
        <v>2414</v>
      </c>
      <c r="AF13" s="112" t="s">
        <v>8</v>
      </c>
      <c r="AG13" s="112" t="s">
        <v>1256</v>
      </c>
      <c r="AH13" s="112" t="s">
        <v>2414</v>
      </c>
      <c r="AJ13" s="7" t="s">
        <v>2828</v>
      </c>
      <c r="AK13" s="222">
        <f>AC23/$AC$27</f>
        <v>7.6923076923076927E-2</v>
      </c>
      <c r="AL13" s="222">
        <f t="shared" ref="AL13:AL15" si="6">SUM(AD23:AE23)/SUM($AD$27:$AE$27)</f>
        <v>0.15384615384615385</v>
      </c>
      <c r="AN13" s="222">
        <f t="shared" ref="AN13:AN14" si="7">AF23/AF$27</f>
        <v>0.19603960396039605</v>
      </c>
      <c r="AO13" s="222">
        <f t="shared" ref="AO13:AO15" si="8">SUM(AG23:AH23)/SUM($AG$27:$AH$27)</f>
        <v>0.26865671641791045</v>
      </c>
    </row>
    <row r="14" spans="3:70" ht="18" customHeight="1">
      <c r="C14" s="43" t="s">
        <v>2816</v>
      </c>
      <c r="D14" s="29"/>
      <c r="E14" s="29"/>
      <c r="F14" s="210">
        <f t="shared" si="0"/>
        <v>25</v>
      </c>
      <c r="G14" s="208">
        <f t="shared" si="1"/>
        <v>25</v>
      </c>
      <c r="H14" s="211"/>
      <c r="I14" s="255">
        <f t="shared" si="2"/>
        <v>0.19230769230769232</v>
      </c>
      <c r="J14" s="255">
        <f t="shared" si="3"/>
        <v>0.19230769230769232</v>
      </c>
      <c r="K14" s="263">
        <f t="shared" si="4"/>
        <v>0.10693069306930693</v>
      </c>
      <c r="L14" s="263">
        <f t="shared" si="5"/>
        <v>0.14832089552238806</v>
      </c>
      <c r="AA14" s="7" t="s">
        <v>2829</v>
      </c>
      <c r="AC14" s="112" t="s">
        <v>9</v>
      </c>
      <c r="AD14" s="112" t="s">
        <v>1257</v>
      </c>
      <c r="AE14" s="112" t="s">
        <v>2415</v>
      </c>
      <c r="AF14" s="112" t="s">
        <v>9</v>
      </c>
      <c r="AG14" s="112" t="s">
        <v>1257</v>
      </c>
      <c r="AH14" s="112" t="s">
        <v>2415</v>
      </c>
      <c r="AJ14" s="7" t="s">
        <v>2829</v>
      </c>
      <c r="AK14" s="222">
        <f>AC24/$AC$27</f>
        <v>0.15384615384615385</v>
      </c>
      <c r="AL14" s="222">
        <f t="shared" si="6"/>
        <v>0.5</v>
      </c>
      <c r="AN14" s="222">
        <f t="shared" si="7"/>
        <v>0.24801980198019802</v>
      </c>
      <c r="AO14" s="222">
        <f t="shared" si="8"/>
        <v>0.38432835820895522</v>
      </c>
      <c r="BP14" s="185"/>
      <c r="BQ14" s="185"/>
      <c r="BR14" s="185"/>
    </row>
    <row r="15" spans="3:70" ht="18" customHeight="1">
      <c r="C15" s="70" t="s">
        <v>2818</v>
      </c>
      <c r="D15" s="70"/>
      <c r="E15" s="70"/>
      <c r="F15" s="212">
        <f t="shared" si="0"/>
        <v>70</v>
      </c>
      <c r="G15" s="212">
        <f>AD26</f>
        <v>0</v>
      </c>
      <c r="H15" s="213"/>
      <c r="I15" s="264">
        <f t="shared" si="2"/>
        <v>0.53846153846153844</v>
      </c>
      <c r="J15" s="264"/>
      <c r="K15" s="265">
        <f t="shared" si="4"/>
        <v>0.30841584158415841</v>
      </c>
      <c r="L15" s="265"/>
      <c r="AA15" s="7" t="s">
        <v>2831</v>
      </c>
      <c r="AC15" s="112" t="s">
        <v>10</v>
      </c>
      <c r="AD15" s="112" t="s">
        <v>1258</v>
      </c>
      <c r="AE15" s="112" t="s">
        <v>2416</v>
      </c>
      <c r="AF15" s="112" t="s">
        <v>10</v>
      </c>
      <c r="AG15" s="112" t="s">
        <v>1258</v>
      </c>
      <c r="AH15" s="112" t="s">
        <v>2416</v>
      </c>
      <c r="AJ15" s="7" t="s">
        <v>2831</v>
      </c>
      <c r="AK15" s="224">
        <f>SUM(AC25:AC26)/$AC$27</f>
        <v>0.73076923076923073</v>
      </c>
      <c r="AL15" s="224">
        <f t="shared" si="6"/>
        <v>0.19230769230769232</v>
      </c>
      <c r="AM15" s="35"/>
      <c r="AN15" s="224">
        <f>SUM(AF25:AF26)/AF$27</f>
        <v>0.41534653465346533</v>
      </c>
      <c r="AO15" s="224">
        <f t="shared" si="8"/>
        <v>0.14832089552238806</v>
      </c>
      <c r="BA15" s="7"/>
      <c r="BP15" s="185"/>
      <c r="BQ15" s="334" t="s">
        <v>2813</v>
      </c>
      <c r="BR15" s="335"/>
    </row>
    <row r="16" spans="3:70" ht="18" customHeight="1">
      <c r="C16" s="81" t="s">
        <v>1</v>
      </c>
      <c r="D16" s="16"/>
      <c r="E16" s="16"/>
      <c r="F16" s="221">
        <f t="shared" si="0"/>
        <v>130</v>
      </c>
      <c r="G16" s="221">
        <f>SUM(G11:G15)</f>
        <v>130</v>
      </c>
      <c r="AA16" s="28" t="s">
        <v>2725</v>
      </c>
      <c r="AC16" s="112" t="s">
        <v>11</v>
      </c>
      <c r="AD16" s="112"/>
      <c r="AE16" s="112"/>
      <c r="AF16" s="112" t="s">
        <v>11</v>
      </c>
      <c r="AG16" s="112"/>
      <c r="AH16" s="112"/>
      <c r="AJ16" s="28"/>
      <c r="AK16" s="223">
        <f>SUM(AK12:AK15)</f>
        <v>0.99230769230769234</v>
      </c>
      <c r="AL16" s="223">
        <f>SUM(AL12:AL15)</f>
        <v>1</v>
      </c>
      <c r="AN16" s="223">
        <f t="shared" ref="AN16:AO16" si="9">SUM(AN12:AN15)</f>
        <v>0.99900990099009901</v>
      </c>
      <c r="AO16" s="223">
        <f t="shared" si="9"/>
        <v>0.99953358208955212</v>
      </c>
      <c r="BA16" s="7"/>
      <c r="BP16" s="185"/>
      <c r="BQ16" s="336"/>
      <c r="BR16" s="337"/>
    </row>
    <row r="17" spans="3:71" ht="14.25" customHeight="1">
      <c r="C17" s="332" t="s">
        <v>2742</v>
      </c>
      <c r="D17" s="332"/>
      <c r="E17" s="332"/>
      <c r="F17" s="332"/>
      <c r="G17" s="332"/>
      <c r="H17" s="332"/>
      <c r="I17" s="332"/>
      <c r="J17" s="332"/>
      <c r="K17" s="332"/>
      <c r="L17" s="332"/>
      <c r="AA17" s="7" t="s">
        <v>2</v>
      </c>
      <c r="AC17" s="112" t="s">
        <v>6</v>
      </c>
      <c r="AD17" s="112" t="s">
        <v>1254</v>
      </c>
      <c r="AE17" s="112" t="s">
        <v>2412</v>
      </c>
      <c r="AF17" s="112" t="s">
        <v>6</v>
      </c>
      <c r="AG17" s="112" t="s">
        <v>1254</v>
      </c>
      <c r="AH17" s="112" t="s">
        <v>2412</v>
      </c>
      <c r="BA17" s="7"/>
      <c r="BP17" s="201"/>
      <c r="BQ17" s="206" t="s">
        <v>2814</v>
      </c>
      <c r="BR17" s="206"/>
    </row>
    <row r="18" spans="3:71" ht="17.45" customHeight="1">
      <c r="C18" s="333"/>
      <c r="D18" s="333"/>
      <c r="E18" s="333"/>
      <c r="F18" s="333"/>
      <c r="G18" s="333"/>
      <c r="H18" s="333"/>
      <c r="I18" s="333"/>
      <c r="J18" s="333"/>
      <c r="K18" s="333"/>
      <c r="L18" s="333"/>
      <c r="BA18" s="7"/>
      <c r="BQ18" s="185"/>
      <c r="BR18" s="206"/>
      <c r="BS18" s="206"/>
    </row>
    <row r="19" spans="3:71" ht="17.45" customHeight="1">
      <c r="AJ19" s="57"/>
      <c r="BQ19" s="202"/>
      <c r="BR19" s="185"/>
      <c r="BS19" s="203"/>
    </row>
    <row r="20" spans="3:71" ht="20.25" customHeight="1">
      <c r="C20" s="303" t="str">
        <f>"Chart 10. "&amp;City_label&amp;" and "&amp;County_label&amp;" renter household income compared to rental unit affordability, 2019"</f>
        <v>Chart 10. Entiat and Chelan County renter household income compared to rental unit affordability, 2019</v>
      </c>
      <c r="D20" s="303"/>
      <c r="E20" s="303"/>
      <c r="F20" s="303"/>
      <c r="G20" s="303"/>
      <c r="H20" s="303"/>
      <c r="I20" s="303"/>
      <c r="J20" s="303"/>
      <c r="K20" s="303"/>
      <c r="L20" s="303"/>
      <c r="AA20" s="31"/>
      <c r="AC20" s="63" t="str">
        <f>City_label</f>
        <v>Entiat</v>
      </c>
      <c r="AD20" s="63"/>
      <c r="AE20" s="63"/>
      <c r="AF20" s="63" t="str">
        <f>County_label</f>
        <v>Chelan County</v>
      </c>
      <c r="AG20" s="63"/>
    </row>
    <row r="21" spans="3:71" ht="20.25" customHeight="1">
      <c r="C21" s="303"/>
      <c r="D21" s="303"/>
      <c r="E21" s="303"/>
      <c r="F21" s="303"/>
      <c r="G21" s="303"/>
      <c r="H21" s="303"/>
      <c r="I21" s="303"/>
      <c r="J21" s="303"/>
      <c r="K21" s="303"/>
      <c r="L21" s="303"/>
      <c r="AA21" s="7"/>
      <c r="AC21" t="s">
        <v>2680</v>
      </c>
      <c r="AD21" t="s">
        <v>2681</v>
      </c>
      <c r="AE21" t="s">
        <v>2824</v>
      </c>
      <c r="AF21" t="s">
        <v>2680</v>
      </c>
      <c r="AG21" t="s">
        <v>2681</v>
      </c>
      <c r="AH21" t="s">
        <v>2824</v>
      </c>
    </row>
    <row r="22" spans="3:71" ht="17.25" customHeight="1">
      <c r="AA22" s="7" t="s">
        <v>2827</v>
      </c>
      <c r="AC22" s="1">
        <v>4</v>
      </c>
      <c r="AD22" s="1">
        <v>20</v>
      </c>
      <c r="AE22" s="1">
        <v>0</v>
      </c>
      <c r="AF22" s="1">
        <v>1410</v>
      </c>
      <c r="AG22" s="1">
        <v>1820</v>
      </c>
      <c r="AH22" s="1">
        <v>305</v>
      </c>
    </row>
    <row r="23" spans="3:71" ht="17.25" customHeight="1">
      <c r="AA23" s="7" t="s">
        <v>2828</v>
      </c>
      <c r="AC23" s="1">
        <v>10</v>
      </c>
      <c r="AD23" s="1">
        <v>20</v>
      </c>
      <c r="AE23" s="1">
        <v>0</v>
      </c>
      <c r="AF23" s="1">
        <v>1980</v>
      </c>
      <c r="AG23" s="1">
        <v>2555</v>
      </c>
      <c r="AH23" s="1">
        <v>325</v>
      </c>
    </row>
    <row r="24" spans="3:71" ht="17.25" customHeight="1">
      <c r="C24" s="51"/>
      <c r="AA24" s="7" t="s">
        <v>2829</v>
      </c>
      <c r="AC24" s="1">
        <v>20</v>
      </c>
      <c r="AD24" s="1">
        <v>65</v>
      </c>
      <c r="AE24" s="1">
        <v>0</v>
      </c>
      <c r="AF24" s="1">
        <v>2505</v>
      </c>
      <c r="AG24" s="1">
        <v>4105</v>
      </c>
      <c r="AH24" s="1">
        <v>15</v>
      </c>
    </row>
    <row r="25" spans="3:71" ht="17.25" customHeight="1">
      <c r="C25" s="51"/>
      <c r="AA25" s="7" t="s">
        <v>2831</v>
      </c>
      <c r="AC25" s="1">
        <v>25</v>
      </c>
      <c r="AD25" s="1">
        <v>25</v>
      </c>
      <c r="AE25" s="1">
        <v>0</v>
      </c>
      <c r="AF25" s="1">
        <v>1080</v>
      </c>
      <c r="AG25" s="1">
        <v>1415</v>
      </c>
      <c r="AH25" s="1">
        <v>175</v>
      </c>
    </row>
    <row r="26" spans="3:71" ht="17.25" customHeight="1">
      <c r="C26" s="51"/>
      <c r="AA26" s="28" t="s">
        <v>2725</v>
      </c>
      <c r="AC26" s="1">
        <v>70</v>
      </c>
      <c r="AD26" s="1"/>
      <c r="AE26" s="1"/>
      <c r="AF26" s="1">
        <v>3115</v>
      </c>
      <c r="AG26" s="1"/>
      <c r="AH26" s="1"/>
      <c r="AI26" s="31"/>
    </row>
    <row r="27" spans="3:71" ht="18">
      <c r="C27" s="51"/>
      <c r="AA27" s="7" t="s">
        <v>2</v>
      </c>
      <c r="AC27" s="2">
        <v>130</v>
      </c>
      <c r="AD27" s="1">
        <v>130</v>
      </c>
      <c r="AE27" s="1">
        <v>0</v>
      </c>
      <c r="AF27" s="2">
        <v>10100</v>
      </c>
      <c r="AG27" s="1">
        <v>9900</v>
      </c>
      <c r="AH27" s="1">
        <v>820</v>
      </c>
    </row>
    <row r="30" spans="3:71" ht="15">
      <c r="AA30" s="125" t="s">
        <v>2758</v>
      </c>
    </row>
    <row r="32" spans="3:71">
      <c r="AA32" s="59"/>
      <c r="AC32" s="57"/>
    </row>
    <row r="33" spans="3:39" ht="14.25" customHeight="1">
      <c r="AF33" s="31"/>
      <c r="AG33" s="57" t="s">
        <v>2670</v>
      </c>
    </row>
    <row r="34" spans="3:39" ht="14.25" customHeight="1">
      <c r="AB34" s="47" t="s">
        <v>2427</v>
      </c>
      <c r="AC34" s="216" t="s">
        <v>2835</v>
      </c>
      <c r="AD34" s="216" t="s">
        <v>2760</v>
      </c>
      <c r="AE34" s="47" t="s">
        <v>1269</v>
      </c>
      <c r="AF34" s="31"/>
      <c r="AG34" s="47" t="s">
        <v>2832</v>
      </c>
      <c r="AH34" s="47" t="s">
        <v>2833</v>
      </c>
      <c r="AI34" s="47" t="s">
        <v>2427</v>
      </c>
    </row>
    <row r="35" spans="3:39" ht="14.25" customHeight="1">
      <c r="AA35" s="7" t="s">
        <v>2827</v>
      </c>
      <c r="AB35" s="164" t="s">
        <v>1270</v>
      </c>
      <c r="AC35" s="5">
        <f>AC22</f>
        <v>4</v>
      </c>
      <c r="AD35" s="33">
        <f>SUM(AD22:AE22)</f>
        <v>20</v>
      </c>
      <c r="AE35" s="188">
        <f>AD35-AC35</f>
        <v>16</v>
      </c>
      <c r="AF35" s="31"/>
      <c r="AG35" s="5">
        <f>MAX(AC35,AD35)</f>
        <v>20</v>
      </c>
      <c r="AH35" s="5">
        <f>AG35+$AH$39</f>
        <v>22</v>
      </c>
      <c r="AI35" t="str">
        <f>IF(AE35&lt;0,"Shortfall:",IF(AE35&gt;0,"Surplus: ",""))&amp;CHAR(10)&amp;TEXT((AE35),"+#,##0;-#,##0;0")&amp;" units"</f>
        <v>Surplus: 
+16 units</v>
      </c>
    </row>
    <row r="36" spans="3:39">
      <c r="AA36" s="7" t="s">
        <v>2828</v>
      </c>
      <c r="AB36" s="164" t="s">
        <v>1271</v>
      </c>
      <c r="AC36" s="5">
        <f>AC23</f>
        <v>10</v>
      </c>
      <c r="AD36" s="33">
        <f>SUM(AD23:AE23)</f>
        <v>20</v>
      </c>
      <c r="AE36" s="188">
        <f>AD36-AC36</f>
        <v>10</v>
      </c>
      <c r="AF36" s="31"/>
      <c r="AG36" s="5">
        <f>MAX(AC36,AD36)</f>
        <v>20</v>
      </c>
      <c r="AH36" s="5">
        <f>AG36+$AH$39</f>
        <v>22</v>
      </c>
      <c r="AI36" t="str">
        <f>IF(AE36&lt;0,"Shortfall:",IF(AE36&gt;0,"Surplus: ",""))&amp;CHAR(10)&amp;TEXT((AE36),"+#,##0;-#,##0;0")&amp;" units"</f>
        <v>Surplus: 
+10 units</v>
      </c>
    </row>
    <row r="37" spans="3:39">
      <c r="AA37" s="7" t="s">
        <v>2829</v>
      </c>
      <c r="AB37" s="164" t="s">
        <v>1272</v>
      </c>
      <c r="AC37" s="5">
        <f>AC24</f>
        <v>20</v>
      </c>
      <c r="AD37" s="33">
        <f>SUM(AD24:AE24)</f>
        <v>65</v>
      </c>
      <c r="AE37" s="188">
        <f>AD37-AC37</f>
        <v>45</v>
      </c>
      <c r="AF37" s="31"/>
      <c r="AG37" s="5">
        <f>MAX(AC37,AD37)</f>
        <v>65</v>
      </c>
      <c r="AH37" s="5">
        <f>AG37+$AH$39</f>
        <v>67</v>
      </c>
      <c r="AI37" t="str">
        <f>IF(AE37&lt;0,"Shortfall:",IF(AE37&gt;0,"Surplus: ",""))&amp;CHAR(10)&amp;TEXT((AE37),"+#,##0;-#,##0;0")&amp;" units"</f>
        <v>Surplus: 
+45 units</v>
      </c>
    </row>
    <row r="38" spans="3:39">
      <c r="AA38" s="7" t="s">
        <v>2831</v>
      </c>
      <c r="AB38" s="164" t="s">
        <v>1273</v>
      </c>
      <c r="AC38" s="5">
        <f>SUM(AC25:AC26)</f>
        <v>95</v>
      </c>
      <c r="AD38" s="33">
        <f>SUM(AD25:AE25)</f>
        <v>25</v>
      </c>
      <c r="AE38" s="188">
        <f>AD38-AC38</f>
        <v>-70</v>
      </c>
      <c r="AF38" s="31"/>
      <c r="AG38" s="5">
        <f>MAX(AC38,AD38)</f>
        <v>95</v>
      </c>
      <c r="AH38" s="5">
        <f>AG38+$AH$39</f>
        <v>97</v>
      </c>
      <c r="AI38" t="str">
        <f>IF(AE38&lt;0,"Shortfall:",IF(AE38&gt;0,"Surplus: ",""))&amp;CHAR(10)&amp;TEXT((AE38),"+#,##0;-#,##0;0")&amp;" units"</f>
        <v>Shortfall:
-70 units</v>
      </c>
    </row>
    <row r="39" spans="3:39">
      <c r="AA39" s="28" t="s">
        <v>2725</v>
      </c>
      <c r="AC39" s="5">
        <f>AC27</f>
        <v>130</v>
      </c>
      <c r="AD39" s="33">
        <f>SUM(AD27:AE27)</f>
        <v>130</v>
      </c>
      <c r="AE39" s="33"/>
      <c r="AF39" s="31"/>
      <c r="AG39" s="59" t="s">
        <v>2682</v>
      </c>
      <c r="AH39" s="109">
        <f>0.1*MAX(AC35:AC37)</f>
        <v>2</v>
      </c>
    </row>
    <row r="40" spans="3:39">
      <c r="AA40" s="7" t="s">
        <v>2</v>
      </c>
    </row>
    <row r="42" spans="3:39" ht="15" customHeight="1">
      <c r="C42" s="278" t="s">
        <v>2741</v>
      </c>
      <c r="D42" s="278"/>
      <c r="E42" s="278"/>
      <c r="F42" s="278"/>
      <c r="G42" s="278"/>
      <c r="H42" s="278"/>
      <c r="I42" s="278"/>
      <c r="J42" s="278"/>
      <c r="AA42" s="125" t="s">
        <v>2759</v>
      </c>
    </row>
    <row r="43" spans="3:39" ht="18" customHeight="1">
      <c r="C43" s="278"/>
      <c r="D43" s="278"/>
      <c r="E43" s="278"/>
      <c r="F43" s="278"/>
      <c r="G43" s="278"/>
      <c r="H43" s="278"/>
      <c r="I43" s="278"/>
      <c r="J43" s="278"/>
    </row>
    <row r="44" spans="3:39" ht="18" customHeight="1">
      <c r="AA44" s="59" t="s">
        <v>2724</v>
      </c>
      <c r="AB44" s="31"/>
      <c r="AC44" s="57" t="s">
        <v>2726</v>
      </c>
      <c r="AD44" s="57" t="s">
        <v>2726</v>
      </c>
      <c r="AE44" s="57" t="s">
        <v>2727</v>
      </c>
      <c r="AF44" s="57"/>
      <c r="AG44" s="57"/>
    </row>
    <row r="45" spans="3:39" ht="21" customHeight="1">
      <c r="C45" s="340" t="str">
        <f>"Chart 11. "&amp;City_label&amp;" renter households by income compared to rental units by affordability, 2019"</f>
        <v>Chart 11. Entiat renter households by income compared to rental units by affordability, 2019</v>
      </c>
      <c r="D45" s="340"/>
      <c r="E45" s="340"/>
      <c r="F45" s="340"/>
      <c r="G45" s="340"/>
      <c r="H45" s="340"/>
      <c r="I45" s="340"/>
      <c r="J45" s="340"/>
      <c r="K45" s="340"/>
      <c r="L45" s="340"/>
      <c r="AA45" s="31"/>
      <c r="AB45" s="31"/>
      <c r="AC45" s="61" t="s">
        <v>2834</v>
      </c>
      <c r="AD45" s="61" t="s">
        <v>1268</v>
      </c>
      <c r="AE45" s="61" t="s">
        <v>1267</v>
      </c>
      <c r="AJ45" s="31"/>
      <c r="AK45" s="31"/>
      <c r="AL45" s="31"/>
      <c r="AM45" s="31"/>
    </row>
    <row r="46" spans="3:39" ht="21" customHeight="1">
      <c r="C46" s="340"/>
      <c r="D46" s="340"/>
      <c r="E46" s="340"/>
      <c r="F46" s="340"/>
      <c r="G46" s="340"/>
      <c r="H46" s="340"/>
      <c r="I46" s="340"/>
      <c r="J46" s="340"/>
      <c r="K46" s="340"/>
      <c r="L46" s="340"/>
      <c r="AA46" s="7" t="s">
        <v>2827</v>
      </c>
      <c r="AB46" s="31"/>
      <c r="AC46" s="112" t="s">
        <v>7</v>
      </c>
      <c r="AD46" s="112" t="s">
        <v>1255</v>
      </c>
      <c r="AE46" s="112" t="s">
        <v>2413</v>
      </c>
    </row>
    <row r="47" spans="3:39" ht="18">
      <c r="C47" s="192"/>
      <c r="D47" s="192"/>
      <c r="E47" s="192"/>
      <c r="F47" s="192"/>
      <c r="G47" s="192"/>
      <c r="H47" s="192"/>
      <c r="I47" s="192"/>
      <c r="J47" s="192"/>
      <c r="K47" s="192"/>
      <c r="L47" s="192"/>
      <c r="AA47" s="7" t="s">
        <v>2828</v>
      </c>
      <c r="AB47" s="31"/>
      <c r="AC47" s="112" t="s">
        <v>8</v>
      </c>
      <c r="AD47" s="112" t="s">
        <v>1256</v>
      </c>
      <c r="AE47" s="112" t="s">
        <v>2414</v>
      </c>
    </row>
    <row r="48" spans="3:39">
      <c r="AA48" s="7" t="s">
        <v>2829</v>
      </c>
      <c r="AB48" s="31"/>
      <c r="AC48" s="112" t="s">
        <v>9</v>
      </c>
      <c r="AD48" s="112" t="s">
        <v>1257</v>
      </c>
      <c r="AE48" s="112" t="s">
        <v>2415</v>
      </c>
    </row>
    <row r="49" spans="27:39">
      <c r="AA49" s="7" t="s">
        <v>2831</v>
      </c>
      <c r="AB49" s="31"/>
      <c r="AC49" s="112" t="s">
        <v>10</v>
      </c>
      <c r="AD49" s="112" t="s">
        <v>1258</v>
      </c>
      <c r="AE49" s="112" t="s">
        <v>2416</v>
      </c>
    </row>
    <row r="50" spans="27:39">
      <c r="AA50" s="28" t="s">
        <v>2725</v>
      </c>
      <c r="AB50" s="31"/>
      <c r="AC50" s="112" t="s">
        <v>11</v>
      </c>
      <c r="AD50" s="112"/>
      <c r="AE50" s="112"/>
    </row>
    <row r="51" spans="27:39" ht="14.25" customHeight="1">
      <c r="AA51" s="7" t="s">
        <v>2</v>
      </c>
      <c r="AB51" s="31"/>
      <c r="AC51" s="112" t="s">
        <v>6</v>
      </c>
      <c r="AD51" s="112" t="s">
        <v>1254</v>
      </c>
      <c r="AE51" s="112" t="s">
        <v>2412</v>
      </c>
      <c r="AF51" s="31"/>
      <c r="AG51" s="31"/>
    </row>
    <row r="52" spans="27:39" ht="14.25" customHeight="1">
      <c r="AD52" s="31"/>
      <c r="AE52" s="31"/>
      <c r="AF52" s="31"/>
      <c r="AG52" s="31"/>
      <c r="AH52" s="31"/>
      <c r="AI52" s="31"/>
    </row>
    <row r="53" spans="27:39">
      <c r="AB53" s="31"/>
      <c r="AC53" s="31"/>
      <c r="AD53" s="31"/>
      <c r="AE53" s="31"/>
      <c r="AF53" s="31"/>
      <c r="AG53" s="31"/>
      <c r="AH53" s="31"/>
      <c r="AI53" s="31"/>
    </row>
    <row r="54" spans="27:39" ht="15">
      <c r="AA54" s="16"/>
      <c r="AB54" s="47" t="s">
        <v>2427</v>
      </c>
      <c r="AC54" t="s">
        <v>2680</v>
      </c>
      <c r="AD54" s="57" t="s">
        <v>2726</v>
      </c>
      <c r="AE54" s="57" t="s">
        <v>2727</v>
      </c>
      <c r="AF54" s="16"/>
      <c r="AG54" s="16"/>
      <c r="AH54" s="16"/>
      <c r="AI54" s="16"/>
    </row>
    <row r="55" spans="27:39">
      <c r="AA55" s="7" t="s">
        <v>2827</v>
      </c>
      <c r="AB55" s="31" t="s">
        <v>1270</v>
      </c>
      <c r="AC55" s="1">
        <v>30</v>
      </c>
      <c r="AD55" s="1">
        <v>45</v>
      </c>
      <c r="AE55" s="1">
        <v>10</v>
      </c>
    </row>
    <row r="56" spans="27:39">
      <c r="AA56" s="7" t="s">
        <v>2828</v>
      </c>
      <c r="AB56" s="31" t="s">
        <v>1271</v>
      </c>
      <c r="AC56" s="1">
        <v>15</v>
      </c>
      <c r="AD56" s="1">
        <v>50</v>
      </c>
      <c r="AE56" s="1">
        <v>0</v>
      </c>
    </row>
    <row r="57" spans="27:39">
      <c r="AA57" s="7" t="s">
        <v>2829</v>
      </c>
      <c r="AB57" s="31" t="s">
        <v>1272</v>
      </c>
      <c r="AC57" s="1">
        <v>65</v>
      </c>
      <c r="AD57" s="1">
        <v>50</v>
      </c>
      <c r="AE57" s="1">
        <v>0</v>
      </c>
    </row>
    <row r="58" spans="27:39">
      <c r="AA58" s="7" t="s">
        <v>2831</v>
      </c>
      <c r="AB58" s="31" t="s">
        <v>1273</v>
      </c>
      <c r="AC58" s="1">
        <v>15</v>
      </c>
      <c r="AD58" s="1">
        <v>15</v>
      </c>
      <c r="AE58" s="1">
        <v>0</v>
      </c>
    </row>
    <row r="59" spans="27:39">
      <c r="AA59" s="28" t="s">
        <v>2725</v>
      </c>
      <c r="AB59" s="31"/>
      <c r="AC59" s="1">
        <v>40</v>
      </c>
      <c r="AD59" s="1"/>
      <c r="AE59" s="1"/>
    </row>
    <row r="60" spans="27:39" ht="15">
      <c r="AA60" s="7" t="s">
        <v>2</v>
      </c>
      <c r="AB60" s="31"/>
      <c r="AC60" s="2">
        <v>160</v>
      </c>
      <c r="AD60" s="2">
        <v>160</v>
      </c>
      <c r="AE60" s="2">
        <v>10</v>
      </c>
      <c r="AF60" s="31"/>
      <c r="AG60" s="31"/>
      <c r="AH60" s="31"/>
      <c r="AI60" s="31"/>
    </row>
    <row r="61" spans="27:39">
      <c r="AA61" s="7"/>
      <c r="AB61" s="31"/>
    </row>
    <row r="62" spans="27:39">
      <c r="AA62" s="7"/>
      <c r="AB62" s="31"/>
      <c r="AK62" s="31"/>
      <c r="AL62" s="31"/>
      <c r="AM62" s="31"/>
    </row>
    <row r="63" spans="27:39" ht="14.25" customHeight="1">
      <c r="AA63" s="7"/>
      <c r="AB63" s="31"/>
      <c r="AE63" s="341" t="s">
        <v>1269</v>
      </c>
      <c r="AF63" s="31"/>
      <c r="AG63" s="57" t="s">
        <v>2670</v>
      </c>
      <c r="AK63" s="31"/>
      <c r="AL63" s="31"/>
      <c r="AM63" s="31"/>
    </row>
    <row r="64" spans="27:39" ht="15">
      <c r="AA64" s="7"/>
      <c r="AB64" s="47" t="s">
        <v>2427</v>
      </c>
      <c r="AC64" s="216" t="s">
        <v>2836</v>
      </c>
      <c r="AD64" s="226" t="s">
        <v>2837</v>
      </c>
      <c r="AE64" s="341"/>
      <c r="AF64" s="31"/>
      <c r="AG64" s="47" t="s">
        <v>2832</v>
      </c>
      <c r="AH64" s="47" t="s">
        <v>2833</v>
      </c>
      <c r="AI64" s="47" t="s">
        <v>2427</v>
      </c>
      <c r="AK64" s="31"/>
      <c r="AL64" s="31"/>
      <c r="AM64" s="31"/>
    </row>
    <row r="65" spans="3:39" ht="15" customHeight="1">
      <c r="AA65" s="7"/>
      <c r="AB65" s="31" t="s">
        <v>1270</v>
      </c>
      <c r="AC65" s="5">
        <f>SUM(AC55)</f>
        <v>30</v>
      </c>
      <c r="AD65" s="33">
        <f>SUM(AD55:AE55)</f>
        <v>55</v>
      </c>
      <c r="AE65" s="97">
        <f>AD65-AC65</f>
        <v>25</v>
      </c>
      <c r="AF65" s="31"/>
      <c r="AG65" s="5">
        <f>MAX(AC65,AD65)</f>
        <v>55</v>
      </c>
      <c r="AH65" s="5">
        <f>AG65+$AH$39</f>
        <v>57</v>
      </c>
      <c r="AI65" t="str">
        <f>IF(AE65&lt;0,"Shortfall:",IF(AE65&gt;0,"Surplus: ",""))&amp;CHAR(10)&amp;TEXT((AE65),"+#,##0;-#,##0;0")&amp;" units"</f>
        <v>Surplus: 
+25 units</v>
      </c>
      <c r="AK65" s="31"/>
      <c r="AL65" s="31"/>
      <c r="AM65" s="31"/>
    </row>
    <row r="66" spans="3:39" ht="15">
      <c r="AA66" s="7"/>
      <c r="AB66" s="31" t="s">
        <v>1271</v>
      </c>
      <c r="AC66" s="5">
        <f>SUM(AC56)</f>
        <v>15</v>
      </c>
      <c r="AD66" s="33">
        <f>SUM(AD56:AE56)</f>
        <v>50</v>
      </c>
      <c r="AE66" s="97">
        <f>AD66-AC66</f>
        <v>35</v>
      </c>
      <c r="AF66" s="31"/>
      <c r="AG66" s="5">
        <f>MAX(AC66,AD66)</f>
        <v>50</v>
      </c>
      <c r="AH66" s="5">
        <f>AG66+$AH$39</f>
        <v>52</v>
      </c>
      <c r="AI66" t="str">
        <f>IF(AE66&lt;0,"Shortfall:",IF(AE66&gt;0,"Surplus: ",""))&amp;CHAR(10)&amp;TEXT((AE66),"+#,##0;-#,##0;0")&amp;" units"</f>
        <v>Surplus: 
+35 units</v>
      </c>
      <c r="AK66" s="31"/>
      <c r="AL66" s="31"/>
      <c r="AM66" s="31"/>
    </row>
    <row r="67" spans="3:39" ht="15">
      <c r="AA67" s="7"/>
      <c r="AB67" s="31" t="s">
        <v>1272</v>
      </c>
      <c r="AC67" s="5">
        <f>SUM(AC57)</f>
        <v>65</v>
      </c>
      <c r="AD67" s="33">
        <f>SUM(AD57:AE57)</f>
        <v>50</v>
      </c>
      <c r="AE67" s="97">
        <f>AD67-AC67</f>
        <v>-15</v>
      </c>
      <c r="AF67" s="31"/>
      <c r="AG67" s="5">
        <f>MAX(AC67,AD67)</f>
        <v>65</v>
      </c>
      <c r="AH67" s="5">
        <f>AG67+$AH$39</f>
        <v>67</v>
      </c>
      <c r="AI67" t="str">
        <f>IF(AE67&lt;0,"Shortfall:",IF(AE67&gt;0,"Surplus: ",""))&amp;CHAR(10)&amp;TEXT((AE67),"+#,##0;-#,##0;0")&amp;" units"</f>
        <v>Shortfall:
-15 units</v>
      </c>
      <c r="AK67" s="31"/>
      <c r="AL67" s="31"/>
      <c r="AM67" s="31"/>
    </row>
    <row r="68" spans="3:39" ht="18.75" customHeight="1">
      <c r="D68" s="200"/>
      <c r="E68" s="200"/>
      <c r="F68" s="200"/>
      <c r="G68" s="200"/>
      <c r="H68" s="200"/>
      <c r="I68" s="200"/>
      <c r="J68" s="200"/>
      <c r="K68" s="200"/>
      <c r="L68" s="200"/>
      <c r="AA68" s="7"/>
      <c r="AB68" s="31" t="s">
        <v>1273</v>
      </c>
      <c r="AC68" s="5">
        <f>SUM(AC58:AC59)</f>
        <v>55</v>
      </c>
      <c r="AD68" s="33">
        <f>SUM(AD58:AE58)</f>
        <v>15</v>
      </c>
      <c r="AE68" s="97">
        <f>AD68-AC68</f>
        <v>-40</v>
      </c>
      <c r="AF68" s="31"/>
      <c r="AG68" s="5">
        <f>MAX(AC68,AD68)</f>
        <v>55</v>
      </c>
      <c r="AH68" s="5">
        <f>AG68+$AH$39</f>
        <v>57</v>
      </c>
      <c r="AI68" t="str">
        <f>IF(AE68&lt;0,"Shortfall:",IF(AE68&gt;0,"Surplus: ",""))&amp;CHAR(10)&amp;TEXT((AE68),"+#,##0;-#,##0;0")&amp;" units"</f>
        <v>Shortfall:
-40 units</v>
      </c>
      <c r="AK68" s="31"/>
      <c r="AL68" s="31"/>
      <c r="AM68" s="31"/>
    </row>
    <row r="69" spans="3:39" ht="18.75" customHeight="1">
      <c r="C69" s="200"/>
      <c r="D69" s="200"/>
      <c r="E69" s="200"/>
      <c r="F69" s="200"/>
      <c r="G69" s="200"/>
      <c r="H69" s="200"/>
      <c r="I69" s="200"/>
      <c r="J69" s="200"/>
      <c r="K69" s="200"/>
      <c r="L69" s="200"/>
      <c r="AA69" s="7"/>
      <c r="AB69" s="31"/>
      <c r="AC69" s="5">
        <f>AC60</f>
        <v>160</v>
      </c>
      <c r="AD69" s="33">
        <f>SUM(AD60:AE60)</f>
        <v>170</v>
      </c>
      <c r="AE69" s="33"/>
      <c r="AF69" s="31"/>
      <c r="AG69" s="59" t="s">
        <v>2682</v>
      </c>
      <c r="AH69" s="109">
        <f>0.1*MAX(AC65:AC68)</f>
        <v>6.5</v>
      </c>
      <c r="AK69" s="31"/>
      <c r="AL69" s="31"/>
      <c r="AM69" s="31"/>
    </row>
    <row r="70" spans="3:39">
      <c r="AA70" s="31"/>
      <c r="AB70" s="31"/>
      <c r="AC70" s="31"/>
      <c r="AD70" s="31"/>
      <c r="AE70" s="31"/>
      <c r="AF70" s="31"/>
      <c r="AK70" s="31"/>
      <c r="AL70" s="31"/>
      <c r="AM70" s="31"/>
    </row>
    <row r="71" spans="3:39">
      <c r="AC71" s="31"/>
      <c r="AD71" s="31"/>
      <c r="AE71" s="31"/>
      <c r="AF71" s="31"/>
      <c r="AK71" s="31"/>
      <c r="AL71" s="31"/>
      <c r="AM71" s="31"/>
    </row>
    <row r="73" spans="3:39" ht="15">
      <c r="C73" s="331" t="s">
        <v>2743</v>
      </c>
      <c r="D73" s="331"/>
      <c r="E73" s="331"/>
      <c r="F73" s="331"/>
      <c r="G73" s="331"/>
      <c r="H73" s="331"/>
      <c r="I73" s="331"/>
      <c r="J73" s="331"/>
      <c r="K73" s="331"/>
      <c r="L73" s="331"/>
      <c r="M73" s="278"/>
      <c r="AA73" s="125" t="s">
        <v>2761</v>
      </c>
      <c r="AB73" s="261"/>
      <c r="AC73" s="261"/>
    </row>
    <row r="74" spans="3:39">
      <c r="C74" s="331"/>
      <c r="D74" s="331"/>
      <c r="E74" s="331"/>
      <c r="F74" s="331"/>
      <c r="G74" s="331"/>
      <c r="H74" s="331"/>
      <c r="I74" s="331"/>
      <c r="J74" s="331"/>
      <c r="K74" s="331"/>
      <c r="L74" s="331"/>
      <c r="M74" s="278"/>
    </row>
    <row r="76" spans="3:39">
      <c r="AG76" s="57" t="s">
        <v>2670</v>
      </c>
    </row>
    <row r="77" spans="3:39" ht="15">
      <c r="AB77" s="47" t="s">
        <v>2427</v>
      </c>
      <c r="AC77" s="16" t="s">
        <v>2838</v>
      </c>
      <c r="AD77" s="16" t="s">
        <v>2839</v>
      </c>
      <c r="AE77" s="16" t="s">
        <v>2696</v>
      </c>
      <c r="AG77" s="47" t="s">
        <v>2832</v>
      </c>
      <c r="AH77" s="47" t="s">
        <v>2833</v>
      </c>
      <c r="AI77" s="47" t="s">
        <v>2427</v>
      </c>
    </row>
    <row r="78" spans="3:39" ht="18" customHeight="1">
      <c r="C78" s="340" t="str">
        <f>"Chart 12. "&amp;City_label&amp;" five year change in renter households by income and rental units by affordability, 2014 - 2019"</f>
        <v>Chart 12. Entiat five year change in renter households by income and rental units by affordability, 2014 - 2019</v>
      </c>
      <c r="D78" s="340"/>
      <c r="E78" s="340"/>
      <c r="F78" s="340"/>
      <c r="G78" s="340"/>
      <c r="H78" s="340"/>
      <c r="I78" s="340"/>
      <c r="J78" s="340"/>
      <c r="K78" s="340"/>
      <c r="L78" s="340"/>
      <c r="AB78" s="31" t="s">
        <v>1270</v>
      </c>
      <c r="AC78" s="5">
        <f t="shared" ref="AC78:AD80" si="10">AC35-AC65</f>
        <v>-26</v>
      </c>
      <c r="AD78" s="5">
        <f t="shared" si="10"/>
        <v>-35</v>
      </c>
      <c r="AE78" s="5">
        <f>AD78-AC78</f>
        <v>-9</v>
      </c>
      <c r="AG78" s="5">
        <f>MAX(AC78,AD78)</f>
        <v>-26</v>
      </c>
      <c r="AH78" s="5">
        <f>MAX(AG78,0)+$AH$82</f>
        <v>15</v>
      </c>
      <c r="AI78" t="str">
        <f>"Difference:"&amp;CHAR(10)&amp;TEXT(AE78,"+#,##0;-#,##0;0")&amp;" units"</f>
        <v>Difference:
-9 units</v>
      </c>
    </row>
    <row r="79" spans="3:39" ht="18" customHeight="1">
      <c r="C79" s="340"/>
      <c r="D79" s="340"/>
      <c r="E79" s="340"/>
      <c r="F79" s="340"/>
      <c r="G79" s="340"/>
      <c r="H79" s="340"/>
      <c r="I79" s="340"/>
      <c r="J79" s="340"/>
      <c r="K79" s="340"/>
      <c r="L79" s="340"/>
      <c r="AB79" s="31" t="s">
        <v>1271</v>
      </c>
      <c r="AC79" s="5">
        <f t="shared" si="10"/>
        <v>-5</v>
      </c>
      <c r="AD79" s="5">
        <f t="shared" si="10"/>
        <v>-30</v>
      </c>
      <c r="AE79" s="5">
        <f>AD79-AC79</f>
        <v>-25</v>
      </c>
      <c r="AG79" s="5">
        <f>MAX(AC79,AD79)</f>
        <v>-5</v>
      </c>
      <c r="AH79" s="5">
        <f>MAX(AG79,0)+$AH$82</f>
        <v>15</v>
      </c>
      <c r="AI79" t="str">
        <f>"Difference:"&amp;CHAR(10)&amp;TEXT(AE79,"+#,##0;-#,##0;0")&amp;" units"</f>
        <v>Difference:
-25 units</v>
      </c>
    </row>
    <row r="80" spans="3:39" ht="18">
      <c r="C80" s="192"/>
      <c r="D80" s="192"/>
      <c r="E80" s="192"/>
      <c r="F80" s="192"/>
      <c r="G80" s="192"/>
      <c r="H80" s="192"/>
      <c r="I80" s="192"/>
      <c r="J80" s="192"/>
      <c r="K80" s="192"/>
      <c r="L80" s="192"/>
      <c r="AB80" s="31" t="s">
        <v>1272</v>
      </c>
      <c r="AC80" s="5">
        <f t="shared" si="10"/>
        <v>-45</v>
      </c>
      <c r="AD80" s="5">
        <f t="shared" si="10"/>
        <v>15</v>
      </c>
      <c r="AE80" s="5">
        <f>AD80-AC80</f>
        <v>60</v>
      </c>
      <c r="AG80" s="5">
        <f>MAX(AC80,AD80)</f>
        <v>15</v>
      </c>
      <c r="AH80" s="5">
        <f>MAX(AG80,0)+$AH$82</f>
        <v>30</v>
      </c>
      <c r="AI80" t="str">
        <f>"Difference:"&amp;CHAR(10)&amp;TEXT(AE80,"+#,##0;-#,##0;0")&amp;" units"</f>
        <v>Difference:
+60 units</v>
      </c>
    </row>
    <row r="81" spans="28:35">
      <c r="AB81" s="31" t="s">
        <v>1273</v>
      </c>
      <c r="AC81" s="5">
        <f>AC39-AC68</f>
        <v>75</v>
      </c>
      <c r="AD81" s="5">
        <f>AD39-AD68</f>
        <v>115</v>
      </c>
      <c r="AE81" s="5">
        <f>AD81-AC81</f>
        <v>40</v>
      </c>
      <c r="AG81" s="5">
        <f>MAX(AC81,AD81)</f>
        <v>115</v>
      </c>
      <c r="AH81" s="5">
        <f>MAX(AG81,0)+$AH$82</f>
        <v>130</v>
      </c>
      <c r="AI81" t="str">
        <f>"Difference:"&amp;CHAR(10)&amp;TEXT(AE81,"+#,##0;-#,##0;0")&amp;" units"</f>
        <v>Difference:
+40 units</v>
      </c>
    </row>
    <row r="82" spans="28:35" ht="13.9" customHeight="1">
      <c r="AG82" s="59" t="s">
        <v>2682</v>
      </c>
      <c r="AH82" s="109">
        <f>0.2*MAX(AB78:AC81)</f>
        <v>15</v>
      </c>
    </row>
    <row r="84" spans="28:35">
      <c r="AI84" s="109"/>
    </row>
    <row r="85" spans="28:35">
      <c r="AH85" s="109"/>
    </row>
    <row r="94" spans="28:35" ht="14.25" customHeight="1"/>
    <row r="101" spans="3:12" ht="13.9" customHeight="1"/>
    <row r="102" spans="3:12" ht="13.9" customHeight="1"/>
    <row r="108" spans="3:12">
      <c r="C108" s="331" t="s">
        <v>2744</v>
      </c>
      <c r="D108" s="331"/>
      <c r="E108" s="331"/>
      <c r="F108" s="331"/>
      <c r="G108" s="331"/>
      <c r="H108" s="331"/>
      <c r="I108" s="331"/>
      <c r="J108" s="331"/>
      <c r="K108" s="331"/>
      <c r="L108" s="331"/>
    </row>
    <row r="109" spans="3:12">
      <c r="C109" s="331"/>
      <c r="D109" s="331"/>
      <c r="E109" s="331"/>
      <c r="F109" s="331"/>
      <c r="G109" s="331"/>
      <c r="H109" s="331"/>
      <c r="I109" s="331"/>
      <c r="J109" s="331"/>
      <c r="K109" s="331"/>
      <c r="L109" s="331"/>
    </row>
    <row r="110" spans="3:12">
      <c r="C110" s="331"/>
      <c r="D110" s="331"/>
      <c r="E110" s="331"/>
      <c r="F110" s="331"/>
      <c r="G110" s="331"/>
      <c r="H110" s="331"/>
      <c r="I110" s="331"/>
      <c r="J110" s="331"/>
      <c r="K110" s="331"/>
      <c r="L110" s="331"/>
    </row>
    <row r="111" spans="3:12">
      <c r="C111" s="331"/>
      <c r="D111" s="331"/>
      <c r="E111" s="331"/>
      <c r="F111" s="331"/>
      <c r="G111" s="331"/>
      <c r="H111" s="331"/>
      <c r="I111" s="331"/>
      <c r="J111" s="331"/>
      <c r="K111" s="331"/>
      <c r="L111" s="331"/>
    </row>
    <row r="112" spans="3:12">
      <c r="C112" s="331"/>
      <c r="D112" s="331"/>
      <c r="E112" s="331"/>
      <c r="F112" s="331"/>
      <c r="G112" s="331"/>
      <c r="H112" s="331"/>
      <c r="I112" s="331"/>
      <c r="J112" s="331"/>
      <c r="K112" s="331"/>
      <c r="L112" s="331"/>
    </row>
    <row r="138" ht="13.9" customHeight="1"/>
    <row r="139" ht="13.9" customHeight="1"/>
    <row r="145" spans="29:42">
      <c r="AC145" s="38"/>
      <c r="AD145" s="38"/>
      <c r="AE145" s="38"/>
      <c r="AF145" s="38"/>
      <c r="AG145" s="38"/>
      <c r="AH145" s="38"/>
      <c r="AI145" s="38"/>
      <c r="AJ145" s="38"/>
      <c r="AK145" s="38"/>
    </row>
    <row r="146" spans="29:42">
      <c r="AC146" s="38"/>
      <c r="AD146" s="38"/>
      <c r="AE146" s="38"/>
      <c r="AF146" s="38"/>
      <c r="AG146" s="38"/>
      <c r="AH146" s="38"/>
      <c r="AI146" s="38"/>
      <c r="AJ146" s="38"/>
      <c r="AK146" s="38"/>
    </row>
    <row r="147" spans="29:42">
      <c r="AC147" s="30"/>
      <c r="AD147" s="30"/>
      <c r="AE147" s="30"/>
      <c r="AF147" s="30"/>
      <c r="AG147" s="30"/>
      <c r="AH147" s="30"/>
      <c r="AI147" s="30"/>
      <c r="AJ147" s="30"/>
      <c r="AK147" s="30"/>
    </row>
    <row r="148" spans="29:42">
      <c r="AC148" s="108"/>
      <c r="AD148" s="108"/>
      <c r="AE148" s="108"/>
      <c r="AF148" s="30"/>
      <c r="AG148" s="108"/>
      <c r="AH148" s="108"/>
      <c r="AI148" s="108"/>
      <c r="AJ148" s="30"/>
      <c r="AK148" s="108"/>
    </row>
    <row r="149" spans="29:42">
      <c r="AC149" s="108"/>
      <c r="AD149" s="108"/>
      <c r="AE149" s="108"/>
      <c r="AF149" s="30"/>
      <c r="AG149" s="108"/>
      <c r="AH149" s="108"/>
      <c r="AI149" s="108"/>
      <c r="AJ149" s="30"/>
      <c r="AK149" s="108"/>
    </row>
    <row r="150" spans="29:42">
      <c r="AC150" s="108"/>
      <c r="AD150" s="108"/>
      <c r="AE150" s="108"/>
      <c r="AF150" s="30"/>
      <c r="AG150" s="108"/>
      <c r="AH150" s="108"/>
      <c r="AI150" s="108"/>
      <c r="AJ150" s="30"/>
      <c r="AK150" s="108"/>
    </row>
    <row r="151" spans="29:42">
      <c r="AC151" s="30"/>
      <c r="AD151" s="30"/>
      <c r="AE151" s="30"/>
      <c r="AF151" s="30"/>
      <c r="AG151" s="30"/>
      <c r="AH151" s="30"/>
      <c r="AI151" s="30"/>
      <c r="AJ151" s="30"/>
      <c r="AK151" s="30"/>
    </row>
    <row r="152" spans="29:42">
      <c r="AC152" s="30"/>
      <c r="AD152" s="30"/>
      <c r="AE152" s="30"/>
      <c r="AF152" s="30"/>
      <c r="AG152" s="30"/>
      <c r="AH152" s="30"/>
      <c r="AI152" s="30"/>
      <c r="AJ152" s="30"/>
      <c r="AK152" s="30"/>
      <c r="AN152" s="38"/>
      <c r="AO152" s="38"/>
      <c r="AP152" s="38"/>
    </row>
    <row r="153" spans="29:42">
      <c r="AC153" s="30"/>
      <c r="AD153" s="30"/>
      <c r="AE153" s="30"/>
      <c r="AF153" s="30"/>
      <c r="AG153" s="30"/>
      <c r="AH153" s="30"/>
      <c r="AI153" s="30"/>
      <c r="AJ153" s="30"/>
      <c r="AK153" s="30"/>
      <c r="AL153" s="38"/>
      <c r="AM153" s="38"/>
      <c r="AN153" s="38"/>
      <c r="AO153" s="38"/>
      <c r="AP153" s="38"/>
    </row>
    <row r="154" spans="29:42">
      <c r="AC154" s="30"/>
      <c r="AD154" s="30"/>
      <c r="AE154" s="30"/>
      <c r="AF154" s="30"/>
      <c r="AG154" s="30"/>
      <c r="AH154" s="30"/>
      <c r="AI154" s="30"/>
      <c r="AJ154" s="30"/>
      <c r="AK154" s="30"/>
      <c r="AL154" s="38"/>
      <c r="AM154" s="38"/>
      <c r="AN154" s="30"/>
      <c r="AO154" s="30"/>
      <c r="AP154" s="30"/>
    </row>
    <row r="155" spans="29:42">
      <c r="AL155" s="30"/>
      <c r="AM155" s="30"/>
      <c r="AN155" s="30"/>
      <c r="AO155" s="108"/>
      <c r="AP155" s="108"/>
    </row>
    <row r="156" spans="29:42">
      <c r="AL156" s="108"/>
      <c r="AM156" s="108"/>
      <c r="AN156" s="30"/>
      <c r="AO156" s="108"/>
      <c r="AP156" s="108"/>
    </row>
    <row r="157" spans="29:42">
      <c r="AL157" s="108"/>
      <c r="AM157" s="108"/>
      <c r="AN157" s="30"/>
      <c r="AO157" s="108"/>
      <c r="AP157" s="108"/>
    </row>
    <row r="158" spans="29:42">
      <c r="AL158" s="108"/>
      <c r="AM158" s="108"/>
      <c r="AN158" s="30"/>
      <c r="AO158" s="30"/>
      <c r="AP158" s="30"/>
    </row>
    <row r="159" spans="29:42">
      <c r="AL159" s="30"/>
      <c r="AM159" s="30"/>
      <c r="AN159" s="30"/>
      <c r="AO159" s="30"/>
      <c r="AP159" s="30"/>
    </row>
    <row r="160" spans="29:42">
      <c r="AL160" s="30"/>
      <c r="AM160" s="30"/>
      <c r="AN160" s="30"/>
      <c r="AO160" s="30"/>
      <c r="AP160" s="30"/>
    </row>
    <row r="161" spans="38:42">
      <c r="AL161" s="30"/>
      <c r="AM161" s="30"/>
      <c r="AN161" s="30"/>
      <c r="AO161" s="30"/>
      <c r="AP161" s="30"/>
    </row>
    <row r="162" spans="38:42">
      <c r="AL162" s="30"/>
      <c r="AM162" s="30"/>
    </row>
    <row r="186" ht="13.9" customHeight="1"/>
    <row r="212" ht="13.9" customHeight="1"/>
    <row r="213" ht="13.9" customHeight="1"/>
  </sheetData>
  <mergeCells count="31">
    <mergeCell ref="BJ7:BL8"/>
    <mergeCell ref="BA7:BC8"/>
    <mergeCell ref="I9:I10"/>
    <mergeCell ref="J9:J10"/>
    <mergeCell ref="K9:K10"/>
    <mergeCell ref="C73:L74"/>
    <mergeCell ref="BD11:BF12"/>
    <mergeCell ref="BG11:BI12"/>
    <mergeCell ref="BJ11:BL12"/>
    <mergeCell ref="BA10:BC10"/>
    <mergeCell ref="BD10:BF10"/>
    <mergeCell ref="BG10:BI10"/>
    <mergeCell ref="BJ10:BL10"/>
    <mergeCell ref="C45:L46"/>
    <mergeCell ref="C20:L21"/>
    <mergeCell ref="BQ3:BR3"/>
    <mergeCell ref="BQ4:BR5"/>
    <mergeCell ref="C108:L112"/>
    <mergeCell ref="BD7:BF8"/>
    <mergeCell ref="BG7:BI8"/>
    <mergeCell ref="C17:L18"/>
    <mergeCell ref="AB5:AC5"/>
    <mergeCell ref="AB6:AC6"/>
    <mergeCell ref="BQ15:BR16"/>
    <mergeCell ref="L9:L10"/>
    <mergeCell ref="BA11:BC12"/>
    <mergeCell ref="F9:F10"/>
    <mergeCell ref="C78:L79"/>
    <mergeCell ref="AE63:AE64"/>
    <mergeCell ref="G9:G10"/>
    <mergeCell ref="C5:L6"/>
  </mergeCells>
  <pageMargins left="0.7" right="0.7" top="0.75" bottom="0.75" header="0.3" footer="0.3"/>
  <pageSetup scale="97" fitToHeight="0" orientation="portrait" r:id="rId1"/>
  <rowBreaks count="2" manualBreakCount="2">
    <brk id="43" min="2" max="11" man="1"/>
    <brk id="76" min="2" max="11"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5" tint="0.39997558519241921"/>
    <pageSetUpPr fitToPage="1"/>
  </sheetPr>
  <dimension ref="B2:BY480"/>
  <sheetViews>
    <sheetView zoomScale="78" zoomScaleNormal="78" workbookViewId="0">
      <selection activeCell="AT96" sqref="AT96"/>
    </sheetView>
  </sheetViews>
  <sheetFormatPr defaultColWidth="8.75" defaultRowHeight="13.9" customHeight="1"/>
  <cols>
    <col min="1" max="1" width="8.75" style="7"/>
    <col min="2" max="2" width="26.75" style="7" customWidth="1"/>
    <col min="3" max="10" width="7.625" style="7" customWidth="1"/>
    <col min="11" max="26" width="4.625" style="7" customWidth="1"/>
    <col min="27" max="27" width="33.125" style="85" customWidth="1"/>
    <col min="28" max="34" width="9.5" style="85" customWidth="1"/>
    <col min="35" max="35" width="8.875" style="85" customWidth="1"/>
    <col min="36" max="36" width="8.75" style="85" customWidth="1"/>
    <col min="37" max="37" width="10.25" style="85" customWidth="1"/>
    <col min="38" max="38" width="34.5" style="85" customWidth="1"/>
    <col min="39" max="48" width="10.25" style="85" customWidth="1"/>
    <col min="49" max="51" width="10.25" customWidth="1"/>
    <col min="52" max="52" width="3.25" style="7" customWidth="1"/>
    <col min="53" max="53" width="4.125" style="7" customWidth="1"/>
    <col min="54" max="55" width="3.25" style="7" customWidth="1"/>
    <col min="56" max="56" width="4.125" style="7" customWidth="1"/>
    <col min="57" max="58" width="3.25" style="7" customWidth="1"/>
    <col min="59" max="59" width="4.125" style="7" customWidth="1"/>
    <col min="60" max="60" width="3.25" style="7" customWidth="1"/>
    <col min="61" max="61" width="3.5" style="7" customWidth="1"/>
    <col min="62" max="62" width="4.125" style="7" customWidth="1"/>
    <col min="63" max="64" width="3.5" style="7" customWidth="1"/>
    <col min="65" max="65" width="4.125" style="7" customWidth="1"/>
    <col min="66" max="66" width="3.375" style="7" customWidth="1"/>
    <col min="67" max="69" width="8.75" style="7"/>
    <col min="78" max="16384" width="8.75" style="7"/>
  </cols>
  <sheetData>
    <row r="2" spans="2:66" ht="14.25"/>
    <row r="3" spans="2:66" ht="28.5" thickBot="1">
      <c r="B3" s="165" t="s">
        <v>2662</v>
      </c>
      <c r="C3" s="165"/>
      <c r="D3" s="165"/>
      <c r="E3" s="165"/>
      <c r="F3" s="165"/>
      <c r="G3" s="165"/>
      <c r="H3" s="165"/>
      <c r="I3" s="165"/>
      <c r="J3" s="165"/>
      <c r="AA3" s="165" t="s">
        <v>2745</v>
      </c>
      <c r="AB3" s="166"/>
      <c r="AC3" s="166"/>
      <c r="AD3" s="166"/>
      <c r="AE3" s="166"/>
      <c r="AF3" s="166"/>
      <c r="AG3" s="166"/>
      <c r="AH3" s="166"/>
      <c r="AI3" s="166"/>
      <c r="AJ3" s="166"/>
      <c r="AL3" s="166"/>
      <c r="AM3" s="166"/>
      <c r="AN3" s="166"/>
      <c r="AO3" s="166"/>
      <c r="AP3" s="166"/>
      <c r="AQ3" s="166"/>
      <c r="AR3" s="166"/>
      <c r="AS3" s="166"/>
      <c r="AT3" s="166"/>
      <c r="AU3" s="166"/>
      <c r="AV3" s="167"/>
      <c r="AZ3" s="4" t="s">
        <v>2847</v>
      </c>
      <c r="BA3" s="4"/>
      <c r="BB3" s="4"/>
      <c r="BC3" s="4"/>
      <c r="BD3" s="4"/>
      <c r="BE3" s="4"/>
      <c r="BF3" s="4"/>
      <c r="BG3" s="4"/>
      <c r="BH3" s="4"/>
      <c r="BI3" s="4"/>
      <c r="BJ3" s="4"/>
      <c r="BK3" s="4"/>
      <c r="BL3" s="4"/>
      <c r="BM3" s="4"/>
      <c r="BN3" s="4"/>
    </row>
    <row r="4" spans="2:66" ht="13.9" customHeight="1" thickTop="1"/>
    <row r="5" spans="2:66" ht="13.9" customHeight="1">
      <c r="AA5" s="126" t="s">
        <v>2702</v>
      </c>
      <c r="AB5" s="351" t="str">
        <f>City</f>
        <v>Entiat city, Washington</v>
      </c>
      <c r="AC5" s="352"/>
      <c r="AD5" s="352"/>
      <c r="AZ5" s="136"/>
      <c r="BA5" s="137"/>
      <c r="BB5" s="138"/>
      <c r="BC5" s="139"/>
      <c r="BD5" s="140"/>
      <c r="BE5" s="139"/>
      <c r="BF5" s="139"/>
      <c r="BG5" s="141"/>
      <c r="BH5" s="136"/>
      <c r="BI5" s="136"/>
      <c r="BJ5" s="142"/>
      <c r="BK5" s="136"/>
      <c r="BL5" s="136"/>
      <c r="BM5" s="143"/>
      <c r="BN5" s="136"/>
    </row>
    <row r="6" spans="2:66" ht="18">
      <c r="B6" s="168" t="str">
        <f>"Table 6. "&amp;City_label&amp;" count of households by income and race, 2019"</f>
        <v>Table 6. Entiat count of households by income and race, 2019</v>
      </c>
      <c r="AA6" s="126" t="s">
        <v>2703</v>
      </c>
      <c r="AB6" s="351" t="str">
        <f>County_label</f>
        <v>Chelan County</v>
      </c>
      <c r="AC6" s="352"/>
      <c r="AD6" s="352"/>
      <c r="AZ6" s="342" t="s">
        <v>2768</v>
      </c>
      <c r="BA6" s="342"/>
      <c r="BB6" s="342"/>
      <c r="BC6" s="346" t="s">
        <v>2769</v>
      </c>
      <c r="BD6" s="346"/>
      <c r="BE6" s="346"/>
      <c r="BF6" s="346" t="s">
        <v>2770</v>
      </c>
      <c r="BG6" s="346"/>
      <c r="BH6" s="346"/>
      <c r="BI6" s="342" t="s">
        <v>2771</v>
      </c>
      <c r="BJ6" s="342"/>
      <c r="BK6" s="342"/>
      <c r="BL6" s="342" t="s">
        <v>2772</v>
      </c>
      <c r="BM6" s="342"/>
      <c r="BN6" s="342"/>
    </row>
    <row r="7" spans="2:66" ht="16.5" customHeight="1" thickBot="1">
      <c r="B7" s="133"/>
      <c r="C7" s="133"/>
      <c r="D7" s="133"/>
      <c r="E7" s="133"/>
      <c r="F7" s="133"/>
      <c r="G7" s="133"/>
      <c r="H7" s="133"/>
      <c r="I7" s="133"/>
      <c r="AZ7" s="342"/>
      <c r="BA7" s="342"/>
      <c r="BB7" s="342"/>
      <c r="BC7" s="346"/>
      <c r="BD7" s="346"/>
      <c r="BE7" s="346"/>
      <c r="BF7" s="346"/>
      <c r="BG7" s="346"/>
      <c r="BH7" s="346"/>
      <c r="BI7" s="342"/>
      <c r="BJ7" s="342"/>
      <c r="BK7" s="342"/>
      <c r="BL7" s="342"/>
      <c r="BM7" s="342"/>
      <c r="BN7" s="342"/>
    </row>
    <row r="8" spans="2:66" ht="21" customHeight="1">
      <c r="C8" s="349" t="str">
        <f>AF12</f>
        <v>American Indian or Alaska Native</v>
      </c>
      <c r="D8" s="353" t="str">
        <f>AD12</f>
        <v>Asian</v>
      </c>
      <c r="E8" s="349" t="str">
        <f>AC12</f>
        <v>Black or African American</v>
      </c>
      <c r="F8" s="353" t="str">
        <f>AB12</f>
        <v>Hispanic or Latino (of any race)</v>
      </c>
      <c r="G8" s="353" t="str">
        <f>AE12</f>
        <v>Pacific Islander</v>
      </c>
      <c r="H8" s="353" t="str">
        <f>AG12</f>
        <v>White</v>
      </c>
      <c r="I8" s="353" t="s">
        <v>2855</v>
      </c>
      <c r="J8" s="353" t="str">
        <f>AI12</f>
        <v>All</v>
      </c>
      <c r="AA8" s="134" t="s">
        <v>2717</v>
      </c>
      <c r="AB8" s="129"/>
      <c r="AC8" s="129"/>
      <c r="AD8" s="129"/>
      <c r="AE8" s="129"/>
      <c r="AF8" s="129"/>
      <c r="AG8" s="129"/>
      <c r="AH8" s="129"/>
      <c r="AI8" s="129"/>
      <c r="AJ8" s="129"/>
      <c r="AL8" s="134" t="s">
        <v>2718</v>
      </c>
      <c r="AM8" s="129"/>
      <c r="AN8" s="129"/>
      <c r="AO8" s="129"/>
      <c r="AP8" s="129"/>
      <c r="AQ8" s="129"/>
      <c r="AR8" s="129"/>
      <c r="AS8" s="129"/>
      <c r="AT8" s="129"/>
      <c r="AU8" s="129"/>
      <c r="AV8" s="129"/>
      <c r="BB8" s="25"/>
      <c r="BC8" s="19"/>
      <c r="BD8" s="19"/>
      <c r="BE8" s="19"/>
      <c r="BF8" s="19"/>
      <c r="BG8" s="19"/>
    </row>
    <row r="9" spans="2:66" ht="13.9" customHeight="1">
      <c r="C9" s="350"/>
      <c r="D9" s="354"/>
      <c r="E9" s="350"/>
      <c r="F9" s="354"/>
      <c r="G9" s="354"/>
      <c r="H9" s="354"/>
      <c r="I9" s="354"/>
      <c r="J9" s="354"/>
      <c r="BB9" s="25"/>
      <c r="BC9" s="19"/>
      <c r="BD9" s="19"/>
      <c r="BE9" s="19"/>
      <c r="BF9" s="19"/>
      <c r="BG9" s="19"/>
    </row>
    <row r="10" spans="2:66" ht="13.9" customHeight="1">
      <c r="C10" s="350"/>
      <c r="D10" s="354"/>
      <c r="E10" s="350"/>
      <c r="F10" s="354"/>
      <c r="G10" s="354"/>
      <c r="H10" s="354"/>
      <c r="I10" s="354"/>
      <c r="J10" s="354"/>
      <c r="AA10" s="162" t="s">
        <v>2737</v>
      </c>
      <c r="AB10" s="162"/>
      <c r="AC10" s="162"/>
      <c r="AD10" s="162"/>
      <c r="AE10" s="162"/>
      <c r="AF10" s="162"/>
      <c r="AG10" s="162"/>
      <c r="AH10" s="162"/>
      <c r="AI10" s="162"/>
      <c r="AJ10" s="162"/>
      <c r="AL10" s="162" t="s">
        <v>2737</v>
      </c>
      <c r="AM10" s="162"/>
      <c r="AN10" s="162"/>
      <c r="AO10" s="162"/>
      <c r="AP10" s="162"/>
      <c r="AQ10" s="162"/>
      <c r="AR10" s="162"/>
      <c r="AS10" s="162"/>
      <c r="AT10" s="162"/>
      <c r="AU10" s="162"/>
      <c r="BB10" s="25"/>
      <c r="BC10" s="19"/>
      <c r="BD10" s="19"/>
      <c r="BE10" s="19"/>
      <c r="BF10" s="19"/>
      <c r="BG10" s="19"/>
    </row>
    <row r="11" spans="2:66" ht="13.9" customHeight="1">
      <c r="C11" s="350"/>
      <c r="D11" s="354"/>
      <c r="E11" s="350"/>
      <c r="F11" s="354"/>
      <c r="G11" s="354"/>
      <c r="H11" s="354"/>
      <c r="I11" s="354"/>
      <c r="J11" s="354"/>
      <c r="AA11" s="169" t="s">
        <v>2763</v>
      </c>
      <c r="AB11" s="170" t="s">
        <v>2515</v>
      </c>
      <c r="AC11" s="170"/>
      <c r="AD11" s="170"/>
      <c r="AE11" s="170"/>
      <c r="AF11" s="170"/>
      <c r="AG11" s="171"/>
      <c r="AH11" s="171"/>
      <c r="AL11" s="169" t="s">
        <v>2763</v>
      </c>
      <c r="AM11" s="170" t="s">
        <v>2736</v>
      </c>
      <c r="AN11" s="170"/>
      <c r="AO11" s="170"/>
      <c r="AP11" s="170"/>
      <c r="AQ11" s="170"/>
      <c r="AR11" s="171"/>
      <c r="AU11" s="86"/>
      <c r="AV11" s="86"/>
      <c r="BC11" s="19"/>
      <c r="BD11" s="19"/>
      <c r="BE11" s="19"/>
      <c r="BF11" s="19"/>
      <c r="BG11" s="19"/>
    </row>
    <row r="12" spans="2:66" ht="13.9" customHeight="1">
      <c r="B12" s="132" t="str">
        <f>AA12</f>
        <v>Income Category (% of AMI)</v>
      </c>
      <c r="C12" s="350"/>
      <c r="D12" s="354"/>
      <c r="E12" s="350"/>
      <c r="F12" s="354"/>
      <c r="G12" s="354"/>
      <c r="H12" s="354"/>
      <c r="I12" s="354"/>
      <c r="J12" s="354"/>
      <c r="AA12" s="347" t="s">
        <v>1976</v>
      </c>
      <c r="AB12" s="343" t="s">
        <v>2790</v>
      </c>
      <c r="AC12" s="343" t="s">
        <v>2673</v>
      </c>
      <c r="AD12" s="343" t="s">
        <v>2666</v>
      </c>
      <c r="AE12" s="343" t="s">
        <v>2721</v>
      </c>
      <c r="AF12" s="343" t="s">
        <v>2720</v>
      </c>
      <c r="AG12" s="343" t="s">
        <v>2672</v>
      </c>
      <c r="AH12" s="343"/>
      <c r="AI12" s="343" t="s">
        <v>2</v>
      </c>
      <c r="AJ12" s="348"/>
      <c r="AL12" s="347" t="s">
        <v>1976</v>
      </c>
      <c r="AM12" s="343" t="s">
        <v>2790</v>
      </c>
      <c r="AN12" s="343" t="s">
        <v>2673</v>
      </c>
      <c r="AO12" s="343" t="s">
        <v>2666</v>
      </c>
      <c r="AP12" s="343" t="s">
        <v>2721</v>
      </c>
      <c r="AQ12" s="343" t="s">
        <v>2720</v>
      </c>
      <c r="AR12" s="343" t="s">
        <v>2672</v>
      </c>
      <c r="AS12" s="343" t="s">
        <v>2810</v>
      </c>
      <c r="AT12" s="344" t="s">
        <v>2</v>
      </c>
      <c r="AU12" s="242"/>
      <c r="BB12" s="60"/>
      <c r="BC12" s="85"/>
      <c r="BD12" s="60"/>
      <c r="BE12" s="85"/>
      <c r="BF12" s="60"/>
      <c r="BG12" s="85"/>
      <c r="BH12" s="60"/>
      <c r="BI12" s="85"/>
      <c r="BJ12" s="60"/>
    </row>
    <row r="13" spans="2:66" ht="13.9" customHeight="1">
      <c r="B13" s="172" t="s">
        <v>2748</v>
      </c>
      <c r="C13" s="172"/>
      <c r="D13" s="172"/>
      <c r="E13" s="172"/>
      <c r="F13" s="172"/>
      <c r="G13" s="172"/>
      <c r="H13" s="172"/>
      <c r="I13" s="172"/>
      <c r="J13" s="131"/>
      <c r="AA13" s="347"/>
      <c r="AB13" s="343"/>
      <c r="AC13" s="343"/>
      <c r="AD13" s="343"/>
      <c r="AE13" s="343"/>
      <c r="AF13" s="343"/>
      <c r="AG13" s="343"/>
      <c r="AH13" s="343"/>
      <c r="AI13" s="343"/>
      <c r="AJ13" s="348"/>
      <c r="AL13" s="347"/>
      <c r="AM13" s="343"/>
      <c r="AN13" s="343"/>
      <c r="AO13" s="343"/>
      <c r="AP13" s="343"/>
      <c r="AQ13" s="343"/>
      <c r="AR13" s="343"/>
      <c r="AS13" s="343"/>
      <c r="AT13" s="344"/>
      <c r="AU13" s="242"/>
      <c r="BD13" s="19"/>
      <c r="BE13" s="19"/>
      <c r="BF13" s="19"/>
      <c r="BG13" s="19"/>
      <c r="BH13" s="19"/>
    </row>
    <row r="14" spans="2:66" ht="13.9" customHeight="1">
      <c r="B14" s="43" t="str">
        <f>AA51</f>
        <v>Extremely Low-Income (≤30% AMI)</v>
      </c>
      <c r="C14" s="182">
        <f t="shared" ref="C14:H18" si="0">AB101</f>
        <v>0</v>
      </c>
      <c r="D14" s="182">
        <f t="shared" si="0"/>
        <v>0</v>
      </c>
      <c r="E14" s="182">
        <f t="shared" si="0"/>
        <v>0</v>
      </c>
      <c r="F14" s="182">
        <f t="shared" si="0"/>
        <v>4</v>
      </c>
      <c r="G14" s="182">
        <f t="shared" si="0"/>
        <v>0</v>
      </c>
      <c r="H14" s="182">
        <f t="shared" si="0"/>
        <v>43</v>
      </c>
      <c r="I14" s="230">
        <f>J14-SUM(C14:H14)</f>
        <v>6</v>
      </c>
      <c r="J14" s="182">
        <f>AI101</f>
        <v>53</v>
      </c>
      <c r="W14" s="19"/>
      <c r="AA14" s="347"/>
      <c r="AB14" s="343"/>
      <c r="AC14" s="343"/>
      <c r="AD14" s="343"/>
      <c r="AE14" s="343"/>
      <c r="AF14" s="343"/>
      <c r="AG14" s="343"/>
      <c r="AH14" s="343"/>
      <c r="AI14" s="343"/>
      <c r="AJ14" s="348"/>
      <c r="AL14" s="347"/>
      <c r="AM14" s="343"/>
      <c r="AN14" s="343"/>
      <c r="AO14" s="343"/>
      <c r="AP14" s="343"/>
      <c r="AQ14" s="343"/>
      <c r="AR14" s="343"/>
      <c r="AS14" s="343"/>
      <c r="AT14" s="344"/>
      <c r="AU14" s="243" t="s">
        <v>1</v>
      </c>
      <c r="BD14" s="19"/>
      <c r="BE14" s="19"/>
      <c r="BF14" s="19"/>
      <c r="BG14" s="19"/>
      <c r="BH14" s="19"/>
    </row>
    <row r="15" spans="2:66" ht="13.9" customHeight="1">
      <c r="B15" s="43" t="str">
        <f>AA52</f>
        <v>Very Low-Income (30-50%)</v>
      </c>
      <c r="C15" s="182">
        <f t="shared" si="0"/>
        <v>0</v>
      </c>
      <c r="D15" s="182">
        <f t="shared" si="0"/>
        <v>0</v>
      </c>
      <c r="E15" s="182">
        <f t="shared" si="0"/>
        <v>0</v>
      </c>
      <c r="F15" s="182">
        <f t="shared" si="0"/>
        <v>0</v>
      </c>
      <c r="G15" s="182">
        <f t="shared" si="0"/>
        <v>0</v>
      </c>
      <c r="H15" s="182">
        <f t="shared" si="0"/>
        <v>45</v>
      </c>
      <c r="I15" s="230">
        <f t="shared" ref="I15:I18" si="1">J15-SUM(C15:H15)</f>
        <v>0</v>
      </c>
      <c r="J15" s="182">
        <f>AI102</f>
        <v>45</v>
      </c>
      <c r="W15" s="19"/>
      <c r="AA15" s="60" t="s">
        <v>2762</v>
      </c>
      <c r="AB15" s="112" t="s">
        <v>1998</v>
      </c>
      <c r="AC15" s="112" t="s">
        <v>1994</v>
      </c>
      <c r="AD15" s="112" t="s">
        <v>1995</v>
      </c>
      <c r="AE15" s="112" t="s">
        <v>1997</v>
      </c>
      <c r="AF15" s="112" t="s">
        <v>1996</v>
      </c>
      <c r="AG15" s="112" t="s">
        <v>1986</v>
      </c>
      <c r="AH15" s="112"/>
      <c r="AI15" s="112" t="s">
        <v>1993</v>
      </c>
      <c r="AJ15" s="40"/>
      <c r="AL15" s="60" t="s">
        <v>2762</v>
      </c>
      <c r="AM15" s="173" t="s">
        <v>1998</v>
      </c>
      <c r="AN15" s="173" t="s">
        <v>1994</v>
      </c>
      <c r="AO15" s="173" t="s">
        <v>1995</v>
      </c>
      <c r="AP15" s="173" t="s">
        <v>1997</v>
      </c>
      <c r="AQ15" s="173" t="s">
        <v>1996</v>
      </c>
      <c r="AR15" s="173" t="s">
        <v>1986</v>
      </c>
      <c r="AS15" s="173" t="s">
        <v>1999</v>
      </c>
      <c r="AT15" s="173" t="s">
        <v>1993</v>
      </c>
      <c r="AU15" s="173" t="s">
        <v>1992</v>
      </c>
      <c r="BD15" s="19"/>
      <c r="BE15" s="19"/>
      <c r="BF15" s="19"/>
      <c r="BG15" s="19"/>
      <c r="BH15" s="19"/>
    </row>
    <row r="16" spans="2:66" ht="13.9" customHeight="1">
      <c r="B16" s="43" t="str">
        <f>AA53</f>
        <v>Low-Income (50-80%)</v>
      </c>
      <c r="C16" s="182">
        <f t="shared" si="0"/>
        <v>0</v>
      </c>
      <c r="D16" s="182">
        <f t="shared" si="0"/>
        <v>0</v>
      </c>
      <c r="E16" s="182">
        <f t="shared" si="0"/>
        <v>0</v>
      </c>
      <c r="F16" s="182">
        <f t="shared" si="0"/>
        <v>14</v>
      </c>
      <c r="G16" s="182">
        <f t="shared" si="0"/>
        <v>0</v>
      </c>
      <c r="H16" s="182">
        <f t="shared" si="0"/>
        <v>33</v>
      </c>
      <c r="I16" s="230">
        <f t="shared" si="1"/>
        <v>7</v>
      </c>
      <c r="J16" s="182">
        <f>AI103</f>
        <v>54</v>
      </c>
      <c r="W16" s="19"/>
      <c r="AB16" s="112" t="s">
        <v>1987</v>
      </c>
      <c r="AC16" s="112" t="s">
        <v>2030</v>
      </c>
      <c r="AD16" s="112" t="s">
        <v>2031</v>
      </c>
      <c r="AE16" s="112" t="s">
        <v>2033</v>
      </c>
      <c r="AF16" s="112" t="s">
        <v>2032</v>
      </c>
      <c r="AG16" s="112" t="s">
        <v>2029</v>
      </c>
      <c r="AH16" s="112"/>
      <c r="AI16" s="112" t="s">
        <v>2028</v>
      </c>
      <c r="AJ16" s="40"/>
      <c r="AM16" s="173" t="s">
        <v>2038</v>
      </c>
      <c r="AN16" s="173" t="s">
        <v>2034</v>
      </c>
      <c r="AO16" s="173" t="s">
        <v>2035</v>
      </c>
      <c r="AP16" s="173" t="s">
        <v>2037</v>
      </c>
      <c r="AQ16" s="173" t="s">
        <v>2036</v>
      </c>
      <c r="AR16" s="173" t="s">
        <v>1987</v>
      </c>
      <c r="AS16" s="173" t="s">
        <v>2039</v>
      </c>
      <c r="AT16" s="173" t="s">
        <v>2033</v>
      </c>
      <c r="BF16" s="19"/>
      <c r="BG16" s="19"/>
      <c r="BH16" s="19"/>
    </row>
    <row r="17" spans="2:60" ht="13.9" customHeight="1">
      <c r="B17" s="43" t="str">
        <f>AA54</f>
        <v>Moderate Income (80-100%)</v>
      </c>
      <c r="C17" s="182">
        <f t="shared" si="0"/>
        <v>4</v>
      </c>
      <c r="D17" s="182">
        <f t="shared" si="0"/>
        <v>0</v>
      </c>
      <c r="E17" s="182">
        <f t="shared" si="0"/>
        <v>0</v>
      </c>
      <c r="F17" s="182">
        <f t="shared" si="0"/>
        <v>19</v>
      </c>
      <c r="G17" s="182">
        <f t="shared" si="0"/>
        <v>0</v>
      </c>
      <c r="H17" s="182">
        <f t="shared" si="0"/>
        <v>39</v>
      </c>
      <c r="I17" s="230">
        <f t="shared" si="1"/>
        <v>-2</v>
      </c>
      <c r="J17" s="182">
        <f>AI104</f>
        <v>60</v>
      </c>
      <c r="W17" s="19"/>
      <c r="AB17" s="112"/>
      <c r="AC17" s="112"/>
      <c r="AD17" s="112"/>
      <c r="AE17" s="112"/>
      <c r="AF17" s="112"/>
      <c r="AG17" s="112"/>
      <c r="AH17" s="112"/>
      <c r="AI17" s="112"/>
      <c r="AJ17" s="40"/>
      <c r="AM17" s="173" t="s">
        <v>2078</v>
      </c>
      <c r="AN17" s="173" t="s">
        <v>2074</v>
      </c>
      <c r="AO17" s="173" t="s">
        <v>2075</v>
      </c>
      <c r="AP17" s="173" t="s">
        <v>2077</v>
      </c>
      <c r="AQ17" s="173" t="s">
        <v>2076</v>
      </c>
      <c r="AR17" s="173" t="s">
        <v>1988</v>
      </c>
      <c r="AS17" s="173" t="s">
        <v>2079</v>
      </c>
      <c r="AT17" s="173" t="s">
        <v>2073</v>
      </c>
      <c r="BF17" s="19"/>
      <c r="BG17" s="19"/>
      <c r="BH17" s="19"/>
    </row>
    <row r="18" spans="2:60" ht="13.9" customHeight="1">
      <c r="B18" s="110" t="str">
        <f>AA55</f>
        <v>Above Median Income (&gt;100%)</v>
      </c>
      <c r="C18" s="207">
        <f t="shared" si="0"/>
        <v>0</v>
      </c>
      <c r="D18" s="207">
        <f t="shared" si="0"/>
        <v>0</v>
      </c>
      <c r="E18" s="207">
        <f t="shared" si="0"/>
        <v>0</v>
      </c>
      <c r="F18" s="207">
        <f t="shared" si="0"/>
        <v>64</v>
      </c>
      <c r="G18" s="207">
        <f t="shared" si="0"/>
        <v>0</v>
      </c>
      <c r="H18" s="207">
        <f t="shared" si="0"/>
        <v>129</v>
      </c>
      <c r="I18" s="231">
        <f t="shared" si="1"/>
        <v>11</v>
      </c>
      <c r="J18" s="207">
        <f>AI105</f>
        <v>204</v>
      </c>
      <c r="W18" s="19"/>
      <c r="AA18" s="60" t="s">
        <v>1977</v>
      </c>
      <c r="AB18" s="112" t="s">
        <v>2005</v>
      </c>
      <c r="AC18" s="112" t="s">
        <v>2001</v>
      </c>
      <c r="AD18" s="112" t="s">
        <v>2002</v>
      </c>
      <c r="AE18" s="112" t="s">
        <v>2004</v>
      </c>
      <c r="AF18" s="112" t="s">
        <v>2003</v>
      </c>
      <c r="AG18" s="112" t="s">
        <v>2000</v>
      </c>
      <c r="AH18" s="112"/>
      <c r="AI18" s="112" t="s">
        <v>1999</v>
      </c>
      <c r="AJ18" s="40"/>
      <c r="AL18" s="60" t="s">
        <v>1977</v>
      </c>
      <c r="AM18" s="173" t="s">
        <v>2006</v>
      </c>
      <c r="AN18" s="173" t="s">
        <v>2002</v>
      </c>
      <c r="AO18" s="173" t="s">
        <v>2003</v>
      </c>
      <c r="AP18" s="173" t="s">
        <v>2005</v>
      </c>
      <c r="AQ18" s="173" t="s">
        <v>2004</v>
      </c>
      <c r="AR18" s="173" t="s">
        <v>2001</v>
      </c>
      <c r="AS18" s="173" t="s">
        <v>2007</v>
      </c>
      <c r="AT18" s="173" t="s">
        <v>2000</v>
      </c>
      <c r="BF18" s="19"/>
      <c r="BG18" s="19"/>
      <c r="BH18" s="19"/>
    </row>
    <row r="19" spans="2:60" ht="15" customHeight="1">
      <c r="B19" s="229" t="s">
        <v>2842</v>
      </c>
      <c r="C19" s="228">
        <f>SUM(C14:C18)</f>
        <v>4</v>
      </c>
      <c r="D19" s="228">
        <f t="shared" ref="D19:I19" si="2">SUM(D14:D18)</f>
        <v>0</v>
      </c>
      <c r="E19" s="228">
        <f t="shared" si="2"/>
        <v>0</v>
      </c>
      <c r="F19" s="228">
        <f t="shared" si="2"/>
        <v>101</v>
      </c>
      <c r="G19" s="228">
        <f t="shared" si="2"/>
        <v>0</v>
      </c>
      <c r="H19" s="228">
        <f t="shared" si="2"/>
        <v>289</v>
      </c>
      <c r="I19" s="232">
        <f t="shared" si="2"/>
        <v>22</v>
      </c>
      <c r="J19" s="228">
        <f>AI49+AI94</f>
        <v>417</v>
      </c>
      <c r="W19" s="19"/>
      <c r="AB19" s="112" t="s">
        <v>2040</v>
      </c>
      <c r="AC19" s="112" t="s">
        <v>2036</v>
      </c>
      <c r="AD19" s="112" t="s">
        <v>2037</v>
      </c>
      <c r="AE19" s="112" t="s">
        <v>2039</v>
      </c>
      <c r="AF19" s="112" t="s">
        <v>2038</v>
      </c>
      <c r="AG19" s="112" t="s">
        <v>2035</v>
      </c>
      <c r="AH19" s="112"/>
      <c r="AI19" s="112" t="s">
        <v>2034</v>
      </c>
      <c r="AJ19" s="40"/>
      <c r="AM19" s="173" t="s">
        <v>2046</v>
      </c>
      <c r="AN19" s="173" t="s">
        <v>2042</v>
      </c>
      <c r="AO19" s="173" t="s">
        <v>2043</v>
      </c>
      <c r="AP19" s="173" t="s">
        <v>2045</v>
      </c>
      <c r="AQ19" s="173" t="s">
        <v>2044</v>
      </c>
      <c r="AR19" s="173" t="s">
        <v>2041</v>
      </c>
      <c r="AS19" s="173" t="s">
        <v>2047</v>
      </c>
      <c r="AT19" s="173" t="s">
        <v>2040</v>
      </c>
    </row>
    <row r="20" spans="2:60" ht="13.9" customHeight="1">
      <c r="C20" s="182"/>
      <c r="D20" s="182"/>
      <c r="E20" s="182"/>
      <c r="F20" s="182"/>
      <c r="G20" s="182"/>
      <c r="H20" s="182"/>
      <c r="I20" s="182"/>
      <c r="J20" s="189"/>
      <c r="W20" s="19"/>
      <c r="AB20" s="112"/>
      <c r="AC20" s="112"/>
      <c r="AD20" s="112"/>
      <c r="AE20" s="112"/>
      <c r="AF20" s="112"/>
      <c r="AG20" s="112"/>
      <c r="AH20" s="112"/>
      <c r="AI20" s="112"/>
      <c r="AJ20" s="40"/>
      <c r="AM20" s="173" t="s">
        <v>2086</v>
      </c>
      <c r="AN20" s="173" t="s">
        <v>2082</v>
      </c>
      <c r="AO20" s="173" t="s">
        <v>2083</v>
      </c>
      <c r="AP20" s="173" t="s">
        <v>2085</v>
      </c>
      <c r="AQ20" s="173" t="s">
        <v>2084</v>
      </c>
      <c r="AR20" s="173" t="s">
        <v>2081</v>
      </c>
      <c r="AS20" s="173" t="s">
        <v>2087</v>
      </c>
      <c r="AT20" s="173" t="s">
        <v>2080</v>
      </c>
      <c r="BF20" s="19"/>
      <c r="BG20" s="19"/>
      <c r="BH20" s="19"/>
    </row>
    <row r="21" spans="2:60" ht="13.9" customHeight="1">
      <c r="B21" s="172" t="s">
        <v>2747</v>
      </c>
      <c r="C21" s="183"/>
      <c r="D21" s="183"/>
      <c r="E21" s="183"/>
      <c r="F21" s="183"/>
      <c r="G21" s="183"/>
      <c r="H21" s="183"/>
      <c r="I21" s="266" t="s">
        <v>2845</v>
      </c>
      <c r="M21" s="17"/>
      <c r="W21" s="19"/>
      <c r="AA21" s="60" t="s">
        <v>1978</v>
      </c>
      <c r="AB21" s="112" t="s">
        <v>2012</v>
      </c>
      <c r="AC21" s="112" t="s">
        <v>2008</v>
      </c>
      <c r="AD21" s="112" t="s">
        <v>2009</v>
      </c>
      <c r="AE21" s="112" t="s">
        <v>2011</v>
      </c>
      <c r="AF21" s="112" t="s">
        <v>2010</v>
      </c>
      <c r="AG21" s="112" t="s">
        <v>2007</v>
      </c>
      <c r="AH21" s="112"/>
      <c r="AI21" s="112" t="s">
        <v>2006</v>
      </c>
      <c r="AJ21" s="40"/>
      <c r="AL21" s="60" t="s">
        <v>1978</v>
      </c>
      <c r="AM21" s="173" t="s">
        <v>2014</v>
      </c>
      <c r="AN21" s="173" t="s">
        <v>2010</v>
      </c>
      <c r="AO21" s="173" t="s">
        <v>2011</v>
      </c>
      <c r="AP21" s="173" t="s">
        <v>2013</v>
      </c>
      <c r="AQ21" s="173" t="s">
        <v>2012</v>
      </c>
      <c r="AR21" s="173" t="s">
        <v>2009</v>
      </c>
      <c r="AS21" s="173" t="s">
        <v>2015</v>
      </c>
      <c r="AT21" s="173" t="s">
        <v>2008</v>
      </c>
      <c r="BF21" s="19"/>
      <c r="BG21" s="19"/>
      <c r="BH21" s="19"/>
    </row>
    <row r="22" spans="2:60" ht="13.9" customHeight="1">
      <c r="B22" s="43" t="str">
        <f>AA51</f>
        <v>Extremely Low-Income (≤30% AMI)</v>
      </c>
      <c r="C22" s="180">
        <f t="shared" ref="C22:I26" si="3">C14/$J14</f>
        <v>0</v>
      </c>
      <c r="D22" s="180">
        <f t="shared" si="3"/>
        <v>0</v>
      </c>
      <c r="E22" s="180">
        <f t="shared" si="3"/>
        <v>0</v>
      </c>
      <c r="F22" s="180">
        <f t="shared" si="3"/>
        <v>7.5471698113207544E-2</v>
      </c>
      <c r="G22" s="180">
        <f t="shared" si="3"/>
        <v>0</v>
      </c>
      <c r="H22" s="180">
        <f t="shared" si="3"/>
        <v>0.81132075471698117</v>
      </c>
      <c r="I22" s="180">
        <f t="shared" si="3"/>
        <v>0.11320754716981132</v>
      </c>
      <c r="W22" s="19"/>
      <c r="AB22" s="112" t="s">
        <v>2047</v>
      </c>
      <c r="AC22" s="112" t="s">
        <v>2043</v>
      </c>
      <c r="AD22" s="112" t="s">
        <v>2044</v>
      </c>
      <c r="AE22" s="112" t="s">
        <v>2046</v>
      </c>
      <c r="AF22" s="112" t="s">
        <v>2045</v>
      </c>
      <c r="AG22" s="112" t="s">
        <v>2042</v>
      </c>
      <c r="AH22" s="112"/>
      <c r="AI22" s="112" t="s">
        <v>2041</v>
      </c>
      <c r="AJ22" s="40"/>
      <c r="AM22" s="173" t="s">
        <v>2054</v>
      </c>
      <c r="AN22" s="173" t="s">
        <v>2050</v>
      </c>
      <c r="AO22" s="173" t="s">
        <v>2051</v>
      </c>
      <c r="AP22" s="173" t="s">
        <v>2053</v>
      </c>
      <c r="AQ22" s="173" t="s">
        <v>2052</v>
      </c>
      <c r="AR22" s="173" t="s">
        <v>2049</v>
      </c>
      <c r="AS22" s="173" t="s">
        <v>2055</v>
      </c>
      <c r="AT22" s="173" t="s">
        <v>2048</v>
      </c>
      <c r="BF22" s="19"/>
      <c r="BG22" s="19"/>
      <c r="BH22" s="19"/>
    </row>
    <row r="23" spans="2:60" ht="13.9" customHeight="1">
      <c r="B23" s="43" t="str">
        <f>AA52</f>
        <v>Very Low-Income (30-50%)</v>
      </c>
      <c r="C23" s="180">
        <f t="shared" si="3"/>
        <v>0</v>
      </c>
      <c r="D23" s="180">
        <f t="shared" si="3"/>
        <v>0</v>
      </c>
      <c r="E23" s="180">
        <f t="shared" si="3"/>
        <v>0</v>
      </c>
      <c r="F23" s="180">
        <f t="shared" si="3"/>
        <v>0</v>
      </c>
      <c r="G23" s="180">
        <f t="shared" si="3"/>
        <v>0</v>
      </c>
      <c r="H23" s="180">
        <f t="shared" si="3"/>
        <v>1</v>
      </c>
      <c r="I23" s="180">
        <f t="shared" si="3"/>
        <v>0</v>
      </c>
      <c r="W23" s="19"/>
      <c r="AB23" s="112"/>
      <c r="AC23" s="112"/>
      <c r="AD23" s="112"/>
      <c r="AE23" s="112"/>
      <c r="AF23" s="112"/>
      <c r="AG23" s="112"/>
      <c r="AH23" s="112"/>
      <c r="AI23" s="112"/>
      <c r="AJ23" s="40"/>
      <c r="AM23" s="173" t="s">
        <v>2094</v>
      </c>
      <c r="AN23" s="173" t="s">
        <v>2090</v>
      </c>
      <c r="AO23" s="173" t="s">
        <v>2091</v>
      </c>
      <c r="AP23" s="173" t="s">
        <v>2093</v>
      </c>
      <c r="AQ23" s="173" t="s">
        <v>2092</v>
      </c>
      <c r="AR23" s="173" t="s">
        <v>2089</v>
      </c>
      <c r="AS23" s="173" t="s">
        <v>2095</v>
      </c>
      <c r="AT23" s="173" t="s">
        <v>2088</v>
      </c>
      <c r="BF23" s="19"/>
      <c r="BG23" s="19"/>
      <c r="BH23" s="19"/>
    </row>
    <row r="24" spans="2:60" ht="13.9" customHeight="1">
      <c r="B24" s="43" t="str">
        <f>AA53</f>
        <v>Low-Income (50-80%)</v>
      </c>
      <c r="C24" s="180">
        <f t="shared" si="3"/>
        <v>0</v>
      </c>
      <c r="D24" s="180">
        <f t="shared" si="3"/>
        <v>0</v>
      </c>
      <c r="E24" s="180">
        <f t="shared" si="3"/>
        <v>0</v>
      </c>
      <c r="F24" s="180">
        <f t="shared" si="3"/>
        <v>0.25925925925925924</v>
      </c>
      <c r="G24" s="180">
        <f t="shared" si="3"/>
        <v>0</v>
      </c>
      <c r="H24" s="180">
        <f t="shared" si="3"/>
        <v>0.61111111111111116</v>
      </c>
      <c r="I24" s="180">
        <f t="shared" si="3"/>
        <v>0.12962962962962962</v>
      </c>
      <c r="W24" s="19"/>
      <c r="AA24" s="60" t="s">
        <v>1979</v>
      </c>
      <c r="AB24" s="112" t="s">
        <v>2019</v>
      </c>
      <c r="AC24" s="112" t="s">
        <v>2015</v>
      </c>
      <c r="AD24" s="112" t="s">
        <v>2016</v>
      </c>
      <c r="AE24" s="112" t="s">
        <v>2018</v>
      </c>
      <c r="AF24" s="112" t="s">
        <v>2017</v>
      </c>
      <c r="AG24" s="112" t="s">
        <v>2014</v>
      </c>
      <c r="AH24" s="112"/>
      <c r="AI24" s="112" t="s">
        <v>2013</v>
      </c>
      <c r="AL24" s="60" t="s">
        <v>1979</v>
      </c>
      <c r="AM24" s="173" t="s">
        <v>2022</v>
      </c>
      <c r="AN24" s="173" t="s">
        <v>2018</v>
      </c>
      <c r="AO24" s="173" t="s">
        <v>2019</v>
      </c>
      <c r="AP24" s="173" t="s">
        <v>2021</v>
      </c>
      <c r="AQ24" s="173" t="s">
        <v>2020</v>
      </c>
      <c r="AR24" s="173" t="s">
        <v>2017</v>
      </c>
      <c r="AS24" s="173" t="s">
        <v>2023</v>
      </c>
      <c r="AT24" s="173" t="s">
        <v>2016</v>
      </c>
      <c r="BF24" s="19"/>
      <c r="BG24" s="19"/>
      <c r="BH24" s="19"/>
    </row>
    <row r="25" spans="2:60" ht="13.9" customHeight="1">
      <c r="B25" s="43" t="str">
        <f>AA54</f>
        <v>Moderate Income (80-100%)</v>
      </c>
      <c r="C25" s="180">
        <f t="shared" si="3"/>
        <v>6.6666666666666666E-2</v>
      </c>
      <c r="D25" s="180">
        <f t="shared" si="3"/>
        <v>0</v>
      </c>
      <c r="E25" s="180">
        <f t="shared" si="3"/>
        <v>0</v>
      </c>
      <c r="F25" s="180">
        <f t="shared" si="3"/>
        <v>0.31666666666666665</v>
      </c>
      <c r="G25" s="180">
        <f t="shared" si="3"/>
        <v>0</v>
      </c>
      <c r="H25" s="180">
        <f t="shared" si="3"/>
        <v>0.65</v>
      </c>
      <c r="I25" s="180">
        <f t="shared" si="3"/>
        <v>-3.3333333333333333E-2</v>
      </c>
      <c r="W25" s="19"/>
      <c r="AB25" s="112" t="s">
        <v>2054</v>
      </c>
      <c r="AC25" s="112" t="s">
        <v>2050</v>
      </c>
      <c r="AD25" s="112" t="s">
        <v>2051</v>
      </c>
      <c r="AE25" s="112" t="s">
        <v>2053</v>
      </c>
      <c r="AF25" s="112" t="s">
        <v>2052</v>
      </c>
      <c r="AG25" s="112" t="s">
        <v>2049</v>
      </c>
      <c r="AH25" s="112"/>
      <c r="AI25" s="112" t="s">
        <v>2048</v>
      </c>
      <c r="AM25" s="173" t="s">
        <v>2062</v>
      </c>
      <c r="AN25" s="173" t="s">
        <v>2058</v>
      </c>
      <c r="AO25" s="173" t="s">
        <v>2059</v>
      </c>
      <c r="AP25" s="173" t="s">
        <v>2061</v>
      </c>
      <c r="AQ25" s="173" t="s">
        <v>2060</v>
      </c>
      <c r="AR25" s="173" t="s">
        <v>2057</v>
      </c>
      <c r="AS25" s="173" t="s">
        <v>2063</v>
      </c>
      <c r="AT25" s="173" t="s">
        <v>2056</v>
      </c>
      <c r="BF25" s="19"/>
      <c r="BG25" s="19"/>
      <c r="BH25" s="19"/>
    </row>
    <row r="26" spans="2:60" ht="13.9" customHeight="1">
      <c r="B26" s="110" t="str">
        <f>AA55</f>
        <v>Above Median Income (&gt;100%)</v>
      </c>
      <c r="C26" s="181">
        <f t="shared" si="3"/>
        <v>0</v>
      </c>
      <c r="D26" s="181">
        <f t="shared" si="3"/>
        <v>0</v>
      </c>
      <c r="E26" s="181">
        <f t="shared" si="3"/>
        <v>0</v>
      </c>
      <c r="F26" s="181">
        <f t="shared" si="3"/>
        <v>0.31372549019607843</v>
      </c>
      <c r="G26" s="181">
        <f t="shared" si="3"/>
        <v>0</v>
      </c>
      <c r="H26" s="181">
        <f t="shared" si="3"/>
        <v>0.63235294117647056</v>
      </c>
      <c r="I26" s="181">
        <f t="shared" si="3"/>
        <v>5.3921568627450983E-2</v>
      </c>
      <c r="W26" s="19"/>
      <c r="AB26" s="112"/>
      <c r="AC26" s="112"/>
      <c r="AD26" s="112"/>
      <c r="AE26" s="112"/>
      <c r="AF26" s="112"/>
      <c r="AG26" s="112"/>
      <c r="AH26" s="112"/>
      <c r="AI26" s="112"/>
      <c r="AM26" s="173" t="s">
        <v>2102</v>
      </c>
      <c r="AN26" s="173" t="s">
        <v>2098</v>
      </c>
      <c r="AO26" s="173" t="s">
        <v>2099</v>
      </c>
      <c r="AP26" s="173" t="s">
        <v>2101</v>
      </c>
      <c r="AQ26" s="173" t="s">
        <v>2100</v>
      </c>
      <c r="AR26" s="173" t="s">
        <v>2097</v>
      </c>
      <c r="AS26" s="173" t="s">
        <v>2103</v>
      </c>
      <c r="AT26" s="173" t="s">
        <v>2096</v>
      </c>
      <c r="BF26" s="19"/>
      <c r="BG26" s="19"/>
      <c r="BH26" s="19"/>
    </row>
    <row r="27" spans="2:60" ht="13.9" customHeight="1">
      <c r="B27" s="57" t="s">
        <v>2846</v>
      </c>
      <c r="W27" s="19"/>
      <c r="AA27" s="60" t="s">
        <v>1897</v>
      </c>
      <c r="AB27" s="112" t="s">
        <v>2026</v>
      </c>
      <c r="AC27" s="112" t="s">
        <v>2022</v>
      </c>
      <c r="AD27" s="112" t="s">
        <v>2023</v>
      </c>
      <c r="AE27" s="112" t="s">
        <v>2025</v>
      </c>
      <c r="AF27" s="112" t="s">
        <v>2024</v>
      </c>
      <c r="AG27" s="112" t="s">
        <v>2021</v>
      </c>
      <c r="AH27" s="112"/>
      <c r="AI27" s="112" t="s">
        <v>2020</v>
      </c>
      <c r="AL27" s="60" t="s">
        <v>1897</v>
      </c>
      <c r="AM27" s="173" t="s">
        <v>2030</v>
      </c>
      <c r="AN27" s="173" t="s">
        <v>2026</v>
      </c>
      <c r="AO27" s="173" t="s">
        <v>2027</v>
      </c>
      <c r="AP27" s="173" t="s">
        <v>2029</v>
      </c>
      <c r="AQ27" s="173" t="s">
        <v>2028</v>
      </c>
      <c r="AR27" s="173" t="s">
        <v>2025</v>
      </c>
      <c r="AS27" s="173" t="s">
        <v>2031</v>
      </c>
      <c r="AT27" s="173" t="s">
        <v>2024</v>
      </c>
      <c r="BF27" s="19"/>
      <c r="BG27" s="19"/>
      <c r="BH27" s="19"/>
    </row>
    <row r="28" spans="2:60" ht="18" customHeight="1">
      <c r="B28" s="345" t="s">
        <v>2746</v>
      </c>
      <c r="C28" s="345"/>
      <c r="D28" s="345"/>
      <c r="E28" s="345"/>
      <c r="F28" s="345"/>
      <c r="G28" s="345"/>
      <c r="H28" s="345"/>
      <c r="I28" s="345"/>
      <c r="W28" s="19"/>
      <c r="AB28" s="112" t="s">
        <v>2061</v>
      </c>
      <c r="AC28" s="112" t="s">
        <v>2057</v>
      </c>
      <c r="AD28" s="112" t="s">
        <v>2058</v>
      </c>
      <c r="AE28" s="112" t="s">
        <v>2060</v>
      </c>
      <c r="AF28" s="112" t="s">
        <v>2059</v>
      </c>
      <c r="AG28" s="112" t="s">
        <v>2056</v>
      </c>
      <c r="AH28" s="112"/>
      <c r="AI28" s="112" t="s">
        <v>2055</v>
      </c>
      <c r="AM28" s="173" t="s">
        <v>2070</v>
      </c>
      <c r="AN28" s="173" t="s">
        <v>2066</v>
      </c>
      <c r="AO28" s="173" t="s">
        <v>2067</v>
      </c>
      <c r="AP28" s="173" t="s">
        <v>2069</v>
      </c>
      <c r="AQ28" s="173" t="s">
        <v>2068</v>
      </c>
      <c r="AR28" s="173" t="s">
        <v>2065</v>
      </c>
      <c r="AS28" s="173" t="s">
        <v>2071</v>
      </c>
      <c r="AT28" s="173" t="s">
        <v>2064</v>
      </c>
      <c r="BF28" s="19"/>
      <c r="BG28" s="19"/>
      <c r="BH28" s="19"/>
    </row>
    <row r="29" spans="2:60" ht="12.75" customHeight="1">
      <c r="B29" s="345"/>
      <c r="C29" s="345"/>
      <c r="D29" s="345"/>
      <c r="E29" s="345"/>
      <c r="F29" s="345"/>
      <c r="G29" s="345"/>
      <c r="H29" s="345"/>
      <c r="I29" s="345"/>
      <c r="W29" s="19"/>
      <c r="AB29" s="112"/>
      <c r="AC29" s="112"/>
      <c r="AD29" s="112"/>
      <c r="AE29" s="112"/>
      <c r="AF29" s="112"/>
      <c r="AG29" s="112"/>
      <c r="AH29" s="112"/>
      <c r="AI29" s="112"/>
      <c r="AM29" s="173" t="s">
        <v>2110</v>
      </c>
      <c r="AN29" s="173" t="s">
        <v>2106</v>
      </c>
      <c r="AO29" s="173" t="s">
        <v>2107</v>
      </c>
      <c r="AP29" s="173" t="s">
        <v>2109</v>
      </c>
      <c r="AQ29" s="173" t="s">
        <v>2108</v>
      </c>
      <c r="AR29" s="173" t="s">
        <v>2105</v>
      </c>
      <c r="AS29" s="173" t="s">
        <v>2111</v>
      </c>
      <c r="AT29" s="173" t="s">
        <v>2104</v>
      </c>
      <c r="BF29" s="19"/>
      <c r="BG29" s="19"/>
      <c r="BH29" s="19"/>
    </row>
    <row r="30" spans="2:60" ht="22.5" customHeight="1">
      <c r="B30" s="260"/>
      <c r="C30" s="260"/>
      <c r="D30" s="260"/>
      <c r="E30" s="260"/>
      <c r="F30" s="260"/>
      <c r="G30" s="260"/>
      <c r="H30" s="260"/>
      <c r="I30" s="260"/>
      <c r="W30" s="19"/>
      <c r="AA30" s="85" t="s">
        <v>2</v>
      </c>
      <c r="AB30" s="112"/>
      <c r="AC30" s="112"/>
      <c r="AD30" s="112"/>
      <c r="AE30" s="112"/>
      <c r="AF30" s="112"/>
      <c r="AG30" s="112"/>
      <c r="AH30" s="112"/>
      <c r="AI30" s="112" t="s">
        <v>1992</v>
      </c>
      <c r="AM30" s="173"/>
      <c r="AN30" s="173"/>
      <c r="AO30" s="173"/>
      <c r="AP30" s="173"/>
      <c r="AQ30" s="173"/>
      <c r="AR30" s="173"/>
      <c r="AS30" s="173"/>
      <c r="AT30" s="173"/>
      <c r="BF30" s="19"/>
      <c r="BG30" s="19"/>
      <c r="BH30" s="19"/>
    </row>
    <row r="31" spans="2:60" ht="18.75" customHeight="1">
      <c r="B31" s="360" t="str">
        <f>"Chart 13. "&amp;City_label&amp;" number of households by income category and race, 2019"</f>
        <v>Chart 13. Entiat number of households by income category and race, 2019</v>
      </c>
      <c r="C31" s="360"/>
      <c r="D31" s="360"/>
      <c r="E31" s="360"/>
      <c r="F31" s="360"/>
      <c r="G31" s="360"/>
      <c r="H31" s="360"/>
      <c r="I31" s="360"/>
      <c r="J31" s="360"/>
      <c r="W31" s="19"/>
      <c r="BF31" s="19"/>
      <c r="BG31" s="19"/>
      <c r="BH31" s="19"/>
    </row>
    <row r="32" spans="2:60" ht="17.25" customHeight="1">
      <c r="B32" s="360"/>
      <c r="C32" s="360"/>
      <c r="D32" s="360"/>
      <c r="E32" s="360"/>
      <c r="F32" s="360"/>
      <c r="G32" s="360"/>
      <c r="H32" s="360"/>
      <c r="I32" s="360"/>
      <c r="J32" s="360"/>
      <c r="AJ32" s="85" t="s">
        <v>2840</v>
      </c>
      <c r="AU32" s="85" t="s">
        <v>2773</v>
      </c>
      <c r="BF32" s="19"/>
      <c r="BG32" s="19"/>
      <c r="BH32" s="19"/>
    </row>
    <row r="33" spans="27:60" ht="17.25" customHeight="1">
      <c r="AA33" s="60" t="s">
        <v>2762</v>
      </c>
      <c r="AB33" s="174">
        <v>0</v>
      </c>
      <c r="AC33" s="174">
        <v>0</v>
      </c>
      <c r="AD33" s="174">
        <v>0</v>
      </c>
      <c r="AE33" s="174">
        <v>0</v>
      </c>
      <c r="AF33" s="174">
        <v>0</v>
      </c>
      <c r="AG33" s="174">
        <v>25</v>
      </c>
      <c r="AH33" s="174"/>
      <c r="AI33" s="174">
        <v>25</v>
      </c>
      <c r="AJ33" s="86">
        <f>(SUM(AB33:AH33))-AI33</f>
        <v>0</v>
      </c>
      <c r="AL33" s="31" t="s">
        <v>2762</v>
      </c>
      <c r="AM33" s="174">
        <v>0</v>
      </c>
      <c r="AN33" s="174">
        <v>0</v>
      </c>
      <c r="AO33" s="174">
        <v>0</v>
      </c>
      <c r="AP33" s="174">
        <v>0</v>
      </c>
      <c r="AQ33" s="174">
        <v>0</v>
      </c>
      <c r="AR33" s="174">
        <v>10</v>
      </c>
      <c r="AS33" s="174">
        <v>0</v>
      </c>
      <c r="AT33" s="174">
        <v>10</v>
      </c>
      <c r="AU33" s="86">
        <f t="shared" ref="AU33:AU47" si="4">(SUM(AM33:AS33))-AT33</f>
        <v>0</v>
      </c>
      <c r="AV33" s="86"/>
      <c r="BE33" s="19"/>
      <c r="BF33" s="19"/>
      <c r="BG33" s="19"/>
      <c r="BH33" s="19"/>
    </row>
    <row r="34" spans="27:60" ht="17.25" customHeight="1">
      <c r="AB34" s="174">
        <v>4</v>
      </c>
      <c r="AC34" s="174">
        <v>0</v>
      </c>
      <c r="AD34" s="174">
        <v>0</v>
      </c>
      <c r="AE34" s="174">
        <v>0</v>
      </c>
      <c r="AF34" s="174">
        <v>0</v>
      </c>
      <c r="AG34" s="174">
        <v>10</v>
      </c>
      <c r="AH34" s="174"/>
      <c r="AI34" s="174">
        <v>20</v>
      </c>
      <c r="AJ34" s="86">
        <f>(SUM(AB34:AH34))-AI34</f>
        <v>-6</v>
      </c>
      <c r="AM34" s="174">
        <v>0</v>
      </c>
      <c r="AN34" s="174">
        <v>0</v>
      </c>
      <c r="AO34" s="174">
        <v>0</v>
      </c>
      <c r="AP34" s="174">
        <v>0</v>
      </c>
      <c r="AQ34" s="174">
        <v>0</v>
      </c>
      <c r="AR34" s="174">
        <v>4</v>
      </c>
      <c r="AS34" s="174">
        <v>0</v>
      </c>
      <c r="AT34" s="174">
        <v>4</v>
      </c>
      <c r="AU34" s="86">
        <f t="shared" si="4"/>
        <v>0</v>
      </c>
      <c r="AV34" s="86"/>
      <c r="BC34" s="25"/>
      <c r="BD34" s="19"/>
      <c r="BE34" s="19"/>
      <c r="BF34" s="19"/>
      <c r="BG34" s="19"/>
      <c r="BH34" s="19"/>
    </row>
    <row r="35" spans="27:60" ht="13.9" customHeight="1">
      <c r="AB35" s="174"/>
      <c r="AC35" s="174"/>
      <c r="AD35" s="174"/>
      <c r="AE35" s="174"/>
      <c r="AF35" s="174"/>
      <c r="AG35" s="174"/>
      <c r="AH35" s="174"/>
      <c r="AI35" s="174"/>
      <c r="AJ35" s="86"/>
      <c r="AM35" s="174">
        <v>0</v>
      </c>
      <c r="AN35" s="174">
        <v>0</v>
      </c>
      <c r="AO35" s="174">
        <v>0</v>
      </c>
      <c r="AP35" s="174">
        <v>0</v>
      </c>
      <c r="AQ35" s="174">
        <v>0</v>
      </c>
      <c r="AR35" s="174">
        <v>15</v>
      </c>
      <c r="AS35" s="174">
        <v>0</v>
      </c>
      <c r="AT35" s="174">
        <v>15</v>
      </c>
      <c r="AU35" s="86">
        <f t="shared" si="4"/>
        <v>0</v>
      </c>
      <c r="AV35" s="86"/>
      <c r="BC35" s="25"/>
      <c r="BD35" s="19"/>
      <c r="BE35" s="19"/>
      <c r="BF35" s="19"/>
      <c r="BG35" s="19"/>
      <c r="BH35" s="19"/>
    </row>
    <row r="36" spans="27:60" ht="13.9" customHeight="1">
      <c r="AA36" s="60" t="s">
        <v>1977</v>
      </c>
      <c r="AB36" s="174">
        <v>0</v>
      </c>
      <c r="AC36" s="174">
        <v>0</v>
      </c>
      <c r="AD36" s="174">
        <v>0</v>
      </c>
      <c r="AE36" s="174">
        <v>0</v>
      </c>
      <c r="AF36" s="174">
        <v>0</v>
      </c>
      <c r="AG36" s="174">
        <v>20</v>
      </c>
      <c r="AH36" s="174"/>
      <c r="AI36" s="174">
        <v>20</v>
      </c>
      <c r="AJ36" s="86">
        <f>(SUM(AB36:AH36))-AI36</f>
        <v>0</v>
      </c>
      <c r="AL36" s="60" t="s">
        <v>1977</v>
      </c>
      <c r="AM36" s="174">
        <v>15</v>
      </c>
      <c r="AN36" s="174">
        <v>0</v>
      </c>
      <c r="AO36" s="174">
        <v>0</v>
      </c>
      <c r="AP36" s="174">
        <v>0</v>
      </c>
      <c r="AQ36" s="174">
        <v>0</v>
      </c>
      <c r="AR36" s="174">
        <v>20</v>
      </c>
      <c r="AS36" s="174">
        <v>0</v>
      </c>
      <c r="AT36" s="174">
        <v>35</v>
      </c>
      <c r="AU36" s="86">
        <f t="shared" si="4"/>
        <v>0</v>
      </c>
      <c r="AV36" s="86"/>
      <c r="BC36" s="25"/>
      <c r="BD36" s="19"/>
      <c r="BE36" s="19"/>
      <c r="BF36" s="19"/>
      <c r="BG36" s="19"/>
      <c r="BH36" s="19"/>
    </row>
    <row r="37" spans="27:60" ht="13.9" customHeight="1">
      <c r="AB37" s="174">
        <v>0</v>
      </c>
      <c r="AC37" s="174">
        <v>0</v>
      </c>
      <c r="AD37" s="174">
        <v>0</v>
      </c>
      <c r="AE37" s="174">
        <v>0</v>
      </c>
      <c r="AF37" s="174">
        <v>0</v>
      </c>
      <c r="AG37" s="174">
        <v>15</v>
      </c>
      <c r="AH37" s="174"/>
      <c r="AI37" s="174">
        <v>15</v>
      </c>
      <c r="AJ37" s="86">
        <f>(SUM(AB37:AH37))-AI37</f>
        <v>0</v>
      </c>
      <c r="AM37" s="174">
        <v>0</v>
      </c>
      <c r="AN37" s="174">
        <v>0</v>
      </c>
      <c r="AO37" s="174">
        <v>0</v>
      </c>
      <c r="AP37" s="174">
        <v>0</v>
      </c>
      <c r="AQ37" s="174">
        <v>0</v>
      </c>
      <c r="AR37" s="174">
        <v>10</v>
      </c>
      <c r="AS37" s="174">
        <v>0</v>
      </c>
      <c r="AT37" s="174">
        <v>10</v>
      </c>
      <c r="AU37" s="86">
        <f t="shared" si="4"/>
        <v>0</v>
      </c>
      <c r="AV37" s="86"/>
      <c r="BC37" s="25"/>
      <c r="BD37" s="19"/>
      <c r="BE37" s="19"/>
      <c r="BF37" s="19"/>
      <c r="BG37" s="19"/>
      <c r="BH37" s="19"/>
    </row>
    <row r="38" spans="27:60" ht="13.9" customHeight="1">
      <c r="AB38" s="174"/>
      <c r="AC38" s="174"/>
      <c r="AD38" s="174"/>
      <c r="AE38" s="174"/>
      <c r="AF38" s="174"/>
      <c r="AG38" s="174"/>
      <c r="AH38" s="174"/>
      <c r="AI38" s="174"/>
      <c r="AJ38" s="86"/>
      <c r="AM38" s="174">
        <v>0</v>
      </c>
      <c r="AN38" s="174">
        <v>0</v>
      </c>
      <c r="AO38" s="174">
        <v>0</v>
      </c>
      <c r="AP38" s="174">
        <v>0</v>
      </c>
      <c r="AQ38" s="174">
        <v>0</v>
      </c>
      <c r="AR38" s="174">
        <v>0</v>
      </c>
      <c r="AS38" s="174">
        <v>0</v>
      </c>
      <c r="AT38" s="174">
        <v>0</v>
      </c>
      <c r="AU38" s="86">
        <f t="shared" si="4"/>
        <v>0</v>
      </c>
      <c r="AV38" s="86"/>
      <c r="BC38" s="25"/>
      <c r="BD38" s="19"/>
      <c r="BE38" s="19"/>
      <c r="BF38" s="19"/>
      <c r="BG38" s="19"/>
      <c r="BH38" s="19"/>
    </row>
    <row r="39" spans="27:60" ht="13.9" customHeight="1">
      <c r="AA39" s="60" t="s">
        <v>1978</v>
      </c>
      <c r="AB39" s="174">
        <v>10</v>
      </c>
      <c r="AC39" s="174">
        <v>0</v>
      </c>
      <c r="AD39" s="174">
        <v>0</v>
      </c>
      <c r="AE39" s="174">
        <v>0</v>
      </c>
      <c r="AF39" s="174">
        <v>0</v>
      </c>
      <c r="AG39" s="174">
        <v>4</v>
      </c>
      <c r="AH39" s="174"/>
      <c r="AI39" s="174">
        <v>20</v>
      </c>
      <c r="AJ39" s="86">
        <f>(SUM(AB39:AH39))-AI39</f>
        <v>-6</v>
      </c>
      <c r="AL39" s="60" t="s">
        <v>1978</v>
      </c>
      <c r="AM39" s="174">
        <v>4</v>
      </c>
      <c r="AN39" s="174">
        <v>0</v>
      </c>
      <c r="AO39" s="174">
        <v>0</v>
      </c>
      <c r="AP39" s="174">
        <v>0</v>
      </c>
      <c r="AQ39" s="174">
        <v>0</v>
      </c>
      <c r="AR39" s="174">
        <v>20</v>
      </c>
      <c r="AS39" s="174">
        <v>0</v>
      </c>
      <c r="AT39" s="174">
        <v>25</v>
      </c>
      <c r="AU39" s="86">
        <f t="shared" si="4"/>
        <v>-1</v>
      </c>
      <c r="AV39" s="86"/>
      <c r="BC39" s="25"/>
      <c r="BD39" s="19"/>
      <c r="BE39" s="19"/>
      <c r="BF39" s="19"/>
      <c r="BG39" s="19"/>
      <c r="BH39" s="19"/>
    </row>
    <row r="40" spans="27:60" ht="13.9" customHeight="1">
      <c r="AB40" s="174">
        <v>4</v>
      </c>
      <c r="AC40" s="174">
        <v>0</v>
      </c>
      <c r="AD40" s="174">
        <v>0</v>
      </c>
      <c r="AE40" s="174">
        <v>0</v>
      </c>
      <c r="AF40" s="174">
        <v>0</v>
      </c>
      <c r="AG40" s="174">
        <v>10</v>
      </c>
      <c r="AH40" s="174"/>
      <c r="AI40" s="174">
        <v>15</v>
      </c>
      <c r="AJ40" s="86">
        <f>(SUM(AB40:AH40))-AI40</f>
        <v>-1</v>
      </c>
      <c r="AM40" s="174">
        <v>0</v>
      </c>
      <c r="AN40" s="174">
        <v>0</v>
      </c>
      <c r="AO40" s="174">
        <v>0</v>
      </c>
      <c r="AP40" s="174">
        <v>0</v>
      </c>
      <c r="AQ40" s="174">
        <v>0</v>
      </c>
      <c r="AR40" s="174">
        <v>20</v>
      </c>
      <c r="AS40" s="174">
        <v>4</v>
      </c>
      <c r="AT40" s="174">
        <v>20</v>
      </c>
      <c r="AU40" s="86">
        <f t="shared" si="4"/>
        <v>4</v>
      </c>
      <c r="AV40" s="86"/>
      <c r="AZ40" s="19"/>
      <c r="BA40" s="19"/>
      <c r="BB40" s="19"/>
      <c r="BC40" s="19"/>
      <c r="BD40" s="19"/>
    </row>
    <row r="41" spans="27:60" ht="13.9" customHeight="1">
      <c r="AB41" s="174"/>
      <c r="AC41" s="174"/>
      <c r="AD41" s="174"/>
      <c r="AE41" s="174"/>
      <c r="AF41" s="174"/>
      <c r="AG41" s="174"/>
      <c r="AH41" s="174"/>
      <c r="AI41" s="174"/>
      <c r="AJ41" s="86"/>
      <c r="AM41" s="174">
        <v>0</v>
      </c>
      <c r="AN41" s="174">
        <v>0</v>
      </c>
      <c r="AO41" s="174">
        <v>0</v>
      </c>
      <c r="AP41" s="174">
        <v>0</v>
      </c>
      <c r="AQ41" s="174">
        <v>0</v>
      </c>
      <c r="AR41" s="174">
        <v>0</v>
      </c>
      <c r="AS41" s="174">
        <v>0</v>
      </c>
      <c r="AT41" s="174">
        <v>0</v>
      </c>
      <c r="AU41" s="86">
        <f t="shared" si="4"/>
        <v>0</v>
      </c>
      <c r="AV41" s="86"/>
      <c r="AZ41" s="19"/>
      <c r="BA41" s="19"/>
      <c r="BB41" s="19"/>
      <c r="BC41" s="19"/>
      <c r="BD41" s="19"/>
    </row>
    <row r="42" spans="27:60" ht="13.9" customHeight="1">
      <c r="AA42" s="60" t="s">
        <v>1979</v>
      </c>
      <c r="AB42" s="174">
        <v>4</v>
      </c>
      <c r="AC42" s="174">
        <v>0</v>
      </c>
      <c r="AD42" s="174">
        <v>0</v>
      </c>
      <c r="AE42" s="174">
        <v>0</v>
      </c>
      <c r="AF42" s="174">
        <v>4</v>
      </c>
      <c r="AG42" s="174">
        <v>4</v>
      </c>
      <c r="AH42" s="174"/>
      <c r="AI42" s="174">
        <v>10</v>
      </c>
      <c r="AJ42" s="86">
        <f>(SUM(AB42:AH42))-AI42</f>
        <v>2</v>
      </c>
      <c r="AL42" s="60" t="s">
        <v>1979</v>
      </c>
      <c r="AM42" s="174">
        <v>0</v>
      </c>
      <c r="AN42" s="174">
        <v>0</v>
      </c>
      <c r="AO42" s="174">
        <v>0</v>
      </c>
      <c r="AP42" s="174">
        <v>0</v>
      </c>
      <c r="AQ42" s="174">
        <v>0</v>
      </c>
      <c r="AR42" s="174">
        <v>0</v>
      </c>
      <c r="AS42" s="174">
        <v>0</v>
      </c>
      <c r="AT42" s="174">
        <v>0</v>
      </c>
      <c r="AU42" s="86">
        <f t="shared" si="4"/>
        <v>0</v>
      </c>
      <c r="AV42" s="86"/>
      <c r="AZ42" s="19"/>
      <c r="BA42" s="19"/>
      <c r="BB42" s="19"/>
      <c r="BC42" s="19"/>
      <c r="BD42" s="19"/>
    </row>
    <row r="43" spans="27:60" ht="13.9" customHeight="1">
      <c r="AB43" s="174">
        <v>0</v>
      </c>
      <c r="AC43" s="174">
        <v>0</v>
      </c>
      <c r="AD43" s="174">
        <v>0</v>
      </c>
      <c r="AE43" s="174">
        <v>0</v>
      </c>
      <c r="AF43" s="174">
        <v>0</v>
      </c>
      <c r="AG43" s="174">
        <v>25</v>
      </c>
      <c r="AH43" s="174"/>
      <c r="AI43" s="174">
        <v>25</v>
      </c>
      <c r="AJ43" s="86">
        <f>(SUM(AB43:AH43))-AI43</f>
        <v>0</v>
      </c>
      <c r="AM43" s="174">
        <v>0</v>
      </c>
      <c r="AN43" s="174">
        <v>0</v>
      </c>
      <c r="AO43" s="174">
        <v>0</v>
      </c>
      <c r="AP43" s="174">
        <v>0</v>
      </c>
      <c r="AQ43" s="174">
        <v>0</v>
      </c>
      <c r="AR43" s="174">
        <v>25</v>
      </c>
      <c r="AS43" s="174">
        <v>0</v>
      </c>
      <c r="AT43" s="174">
        <v>25</v>
      </c>
      <c r="AU43" s="86">
        <f t="shared" si="4"/>
        <v>0</v>
      </c>
      <c r="AV43" s="86"/>
      <c r="AZ43" s="19"/>
      <c r="BA43" s="19"/>
      <c r="BB43" s="19"/>
      <c r="BC43" s="19"/>
      <c r="BD43" s="19"/>
    </row>
    <row r="44" spans="27:60" ht="13.9" customHeight="1">
      <c r="AB44" s="174"/>
      <c r="AC44" s="174"/>
      <c r="AD44" s="174"/>
      <c r="AE44" s="174"/>
      <c r="AF44" s="174"/>
      <c r="AG44" s="174"/>
      <c r="AH44" s="174"/>
      <c r="AI44" s="174"/>
      <c r="AJ44" s="86"/>
      <c r="AM44" s="174">
        <v>0</v>
      </c>
      <c r="AN44" s="174">
        <v>0</v>
      </c>
      <c r="AO44" s="174">
        <v>0</v>
      </c>
      <c r="AP44" s="174">
        <v>0</v>
      </c>
      <c r="AQ44" s="174">
        <v>0</v>
      </c>
      <c r="AR44" s="174">
        <v>0</v>
      </c>
      <c r="AS44" s="174">
        <v>0</v>
      </c>
      <c r="AT44" s="174">
        <v>0</v>
      </c>
      <c r="AU44" s="86">
        <f t="shared" si="4"/>
        <v>0</v>
      </c>
      <c r="AV44" s="86"/>
      <c r="AZ44" s="19"/>
      <c r="BA44" s="19"/>
      <c r="BB44" s="19"/>
      <c r="BC44" s="19"/>
      <c r="BD44" s="19"/>
    </row>
    <row r="45" spans="27:60" ht="13.9" customHeight="1">
      <c r="AA45" s="60" t="s">
        <v>1897</v>
      </c>
      <c r="AB45" s="174">
        <v>4</v>
      </c>
      <c r="AC45" s="174">
        <v>0</v>
      </c>
      <c r="AD45" s="174">
        <v>0</v>
      </c>
      <c r="AE45" s="174">
        <v>0</v>
      </c>
      <c r="AF45" s="174">
        <v>0</v>
      </c>
      <c r="AG45" s="174">
        <v>4</v>
      </c>
      <c r="AH45" s="174"/>
      <c r="AI45" s="174">
        <v>4</v>
      </c>
      <c r="AJ45" s="86">
        <f>(SUM(AB45:AH45))-AI45</f>
        <v>4</v>
      </c>
      <c r="AL45" s="60" t="s">
        <v>1897</v>
      </c>
      <c r="AM45" s="174">
        <v>0</v>
      </c>
      <c r="AN45" s="174">
        <v>0</v>
      </c>
      <c r="AO45" s="174">
        <v>0</v>
      </c>
      <c r="AP45" s="174">
        <v>4</v>
      </c>
      <c r="AQ45" s="174">
        <v>0</v>
      </c>
      <c r="AR45" s="174">
        <v>15</v>
      </c>
      <c r="AS45" s="174">
        <v>0</v>
      </c>
      <c r="AT45" s="174">
        <v>20</v>
      </c>
      <c r="AU45" s="86">
        <f t="shared" si="4"/>
        <v>-1</v>
      </c>
      <c r="AV45" s="86"/>
      <c r="AZ45" s="19"/>
      <c r="BA45" s="19"/>
      <c r="BB45" s="19"/>
      <c r="BC45" s="19"/>
      <c r="BD45" s="19"/>
    </row>
    <row r="46" spans="27:60" ht="18" customHeight="1">
      <c r="AA46" s="60"/>
      <c r="AB46" s="174">
        <v>10</v>
      </c>
      <c r="AC46" s="174">
        <v>0</v>
      </c>
      <c r="AD46" s="174">
        <v>0</v>
      </c>
      <c r="AE46" s="174">
        <v>0</v>
      </c>
      <c r="AF46" s="174">
        <v>0</v>
      </c>
      <c r="AG46" s="174">
        <v>105</v>
      </c>
      <c r="AH46" s="174"/>
      <c r="AI46" s="174">
        <v>130</v>
      </c>
      <c r="AJ46" s="86">
        <f>(SUM(AB46:AH46))-AI46</f>
        <v>-15</v>
      </c>
      <c r="AM46" s="174">
        <v>20</v>
      </c>
      <c r="AN46" s="174">
        <v>0</v>
      </c>
      <c r="AO46" s="174">
        <v>0</v>
      </c>
      <c r="AP46" s="174">
        <v>0</v>
      </c>
      <c r="AQ46" s="174">
        <v>10</v>
      </c>
      <c r="AR46" s="174">
        <v>125</v>
      </c>
      <c r="AS46" s="174">
        <v>0</v>
      </c>
      <c r="AT46" s="174">
        <v>155</v>
      </c>
      <c r="AU46" s="86">
        <f t="shared" si="4"/>
        <v>0</v>
      </c>
      <c r="AV46" s="86"/>
      <c r="AZ46" s="19"/>
      <c r="BA46" s="19"/>
      <c r="BB46" s="19"/>
      <c r="BC46" s="19"/>
      <c r="BD46" s="19"/>
    </row>
    <row r="47" spans="27:60" ht="17.25" customHeight="1">
      <c r="AB47" s="174"/>
      <c r="AC47" s="174"/>
      <c r="AD47" s="174"/>
      <c r="AE47" s="174"/>
      <c r="AF47" s="174"/>
      <c r="AG47" s="174"/>
      <c r="AH47" s="174"/>
      <c r="AI47" s="174"/>
      <c r="AJ47" s="86">
        <f>(SUM(AB47:AH47))-AI47</f>
        <v>0</v>
      </c>
      <c r="AM47" s="174">
        <v>0</v>
      </c>
      <c r="AN47" s="174">
        <v>0</v>
      </c>
      <c r="AO47" s="174">
        <v>0</v>
      </c>
      <c r="AP47" s="174">
        <v>0</v>
      </c>
      <c r="AQ47" s="174">
        <v>0</v>
      </c>
      <c r="AR47" s="174">
        <v>0</v>
      </c>
      <c r="AS47" s="174">
        <v>0</v>
      </c>
      <c r="AT47" s="174">
        <v>0</v>
      </c>
      <c r="AU47" s="86">
        <f t="shared" si="4"/>
        <v>0</v>
      </c>
      <c r="AZ47" s="19"/>
      <c r="BA47" s="19"/>
      <c r="BB47" s="19"/>
      <c r="BC47" s="19"/>
      <c r="BD47" s="19"/>
    </row>
    <row r="48" spans="27:60" ht="13.9" customHeight="1">
      <c r="AA48" s="127" t="s">
        <v>2843</v>
      </c>
      <c r="AB48" s="86">
        <f>SUM(AB33:AB47)</f>
        <v>36</v>
      </c>
      <c r="AC48" s="86">
        <f t="shared" ref="AC48:AH48" si="5">SUM(AC33:AC47)</f>
        <v>0</v>
      </c>
      <c r="AD48" s="86">
        <f t="shared" si="5"/>
        <v>0</v>
      </c>
      <c r="AE48" s="86">
        <f t="shared" si="5"/>
        <v>0</v>
      </c>
      <c r="AF48" s="86">
        <f t="shared" si="5"/>
        <v>4</v>
      </c>
      <c r="AG48" s="86">
        <f t="shared" si="5"/>
        <v>222</v>
      </c>
      <c r="AH48" s="86">
        <f t="shared" si="5"/>
        <v>0</v>
      </c>
      <c r="AI48" s="86">
        <f t="shared" ref="AI48" si="6">SUM(AI33:AI47)</f>
        <v>284</v>
      </c>
      <c r="AJ48" s="86"/>
      <c r="AZ48" s="19"/>
      <c r="BA48" s="19"/>
      <c r="BB48" s="19"/>
      <c r="BC48" s="19"/>
      <c r="BD48" s="19"/>
    </row>
    <row r="49" spans="2:56" ht="13.9" customHeight="1">
      <c r="AA49" s="171" t="s">
        <v>2786</v>
      </c>
      <c r="AI49" s="227">
        <v>285</v>
      </c>
      <c r="AJ49" s="86">
        <f>SUM(AJ33:AJ46)</f>
        <v>-22</v>
      </c>
      <c r="AL49" s="171" t="s">
        <v>2774</v>
      </c>
      <c r="AT49" s="174">
        <v>320</v>
      </c>
      <c r="AU49" s="86">
        <f>SUM(AU33:AU47)</f>
        <v>2</v>
      </c>
      <c r="AZ49" s="19"/>
      <c r="BA49" s="19"/>
      <c r="BB49" s="19"/>
      <c r="BC49" s="19"/>
      <c r="BD49" s="19"/>
    </row>
    <row r="50" spans="2:56" ht="13.9" customHeight="1">
      <c r="AS50" s="10" t="s">
        <v>2848</v>
      </c>
      <c r="AT50" s="85" t="s">
        <v>1</v>
      </c>
      <c r="AZ50" s="19"/>
      <c r="BA50" s="19"/>
      <c r="BB50" s="19"/>
      <c r="BC50" s="19"/>
      <c r="BD50" s="19"/>
    </row>
    <row r="51" spans="2:56" ht="16.5" customHeight="1">
      <c r="AA51" s="60" t="s">
        <v>2762</v>
      </c>
      <c r="AB51" s="86">
        <f>SUM(AB33:AB35)</f>
        <v>4</v>
      </c>
      <c r="AC51" s="86">
        <f t="shared" ref="AC51:AI51" si="7">SUM(AC33:AC35)</f>
        <v>0</v>
      </c>
      <c r="AD51" s="86">
        <f t="shared" si="7"/>
        <v>0</v>
      </c>
      <c r="AE51" s="86">
        <f t="shared" si="7"/>
        <v>0</v>
      </c>
      <c r="AF51" s="86">
        <f t="shared" si="7"/>
        <v>0</v>
      </c>
      <c r="AG51" s="86">
        <f t="shared" si="7"/>
        <v>35</v>
      </c>
      <c r="AH51" s="86">
        <f t="shared" si="7"/>
        <v>0</v>
      </c>
      <c r="AI51" s="86">
        <f t="shared" si="7"/>
        <v>45</v>
      </c>
      <c r="AL51" s="60" t="s">
        <v>1983</v>
      </c>
      <c r="AM51" s="86">
        <f>SUM(AM33:AM35)</f>
        <v>0</v>
      </c>
      <c r="AN51" s="86">
        <f t="shared" ref="AN51:AT51" si="8">SUM(AN33:AN35)</f>
        <v>0</v>
      </c>
      <c r="AO51" s="86">
        <f t="shared" si="8"/>
        <v>0</v>
      </c>
      <c r="AP51" s="86">
        <f t="shared" si="8"/>
        <v>0</v>
      </c>
      <c r="AQ51" s="86">
        <f t="shared" si="8"/>
        <v>0</v>
      </c>
      <c r="AR51" s="86">
        <f t="shared" si="8"/>
        <v>29</v>
      </c>
      <c r="AS51" s="5">
        <f t="shared" si="8"/>
        <v>0</v>
      </c>
      <c r="AT51" s="86">
        <f t="shared" si="8"/>
        <v>29</v>
      </c>
      <c r="AZ51" s="19"/>
      <c r="BA51" s="19"/>
      <c r="BB51" s="19"/>
      <c r="BC51" s="19"/>
      <c r="BD51" s="19"/>
    </row>
    <row r="52" spans="2:56" ht="16.5" customHeight="1">
      <c r="AA52" s="60" t="s">
        <v>1977</v>
      </c>
      <c r="AB52" s="86">
        <f>SUM(AB36:AB38)</f>
        <v>0</v>
      </c>
      <c r="AC52" s="86">
        <f t="shared" ref="AC52:AI52" si="9">SUM(AC36:AC38)</f>
        <v>0</v>
      </c>
      <c r="AD52" s="86">
        <f t="shared" si="9"/>
        <v>0</v>
      </c>
      <c r="AE52" s="86">
        <f t="shared" si="9"/>
        <v>0</v>
      </c>
      <c r="AF52" s="86">
        <f t="shared" si="9"/>
        <v>0</v>
      </c>
      <c r="AG52" s="86">
        <f t="shared" si="9"/>
        <v>35</v>
      </c>
      <c r="AH52" s="86">
        <f t="shared" si="9"/>
        <v>0</v>
      </c>
      <c r="AI52" s="86">
        <f t="shared" si="9"/>
        <v>35</v>
      </c>
      <c r="AL52" s="60" t="s">
        <v>1977</v>
      </c>
      <c r="AM52" s="86">
        <f t="shared" ref="AM52:AR52" si="10">SUM(AM36:AM38)</f>
        <v>15</v>
      </c>
      <c r="AN52" s="86">
        <f t="shared" si="10"/>
        <v>0</v>
      </c>
      <c r="AO52" s="86">
        <f t="shared" si="10"/>
        <v>0</v>
      </c>
      <c r="AP52" s="86">
        <f t="shared" si="10"/>
        <v>0</v>
      </c>
      <c r="AQ52" s="86">
        <f t="shared" si="10"/>
        <v>0</v>
      </c>
      <c r="AR52" s="86">
        <f t="shared" si="10"/>
        <v>30</v>
      </c>
      <c r="AS52" s="5">
        <f>SUM(AS36:AS38)</f>
        <v>0</v>
      </c>
      <c r="AT52" s="86">
        <f>SUM(AT36:AT38)</f>
        <v>45</v>
      </c>
      <c r="AZ52" s="19"/>
      <c r="BA52" s="19"/>
      <c r="BB52" s="19"/>
      <c r="BC52" s="19"/>
      <c r="BD52" s="19"/>
    </row>
    <row r="53" spans="2:56" ht="16.5" customHeight="1">
      <c r="B53" s="345" t="s">
        <v>2764</v>
      </c>
      <c r="C53" s="345"/>
      <c r="D53" s="345"/>
      <c r="E53" s="345"/>
      <c r="F53" s="345"/>
      <c r="G53" s="345"/>
      <c r="H53" s="345"/>
      <c r="I53" s="345"/>
      <c r="AA53" s="60" t="s">
        <v>1978</v>
      </c>
      <c r="AB53" s="86">
        <f>SUM(AB39:AB41)</f>
        <v>14</v>
      </c>
      <c r="AC53" s="86">
        <f t="shared" ref="AC53:AI53" si="11">SUM(AC39:AC41)</f>
        <v>0</v>
      </c>
      <c r="AD53" s="86">
        <f t="shared" si="11"/>
        <v>0</v>
      </c>
      <c r="AE53" s="86">
        <f t="shared" si="11"/>
        <v>0</v>
      </c>
      <c r="AF53" s="86">
        <f t="shared" si="11"/>
        <v>0</v>
      </c>
      <c r="AG53" s="86">
        <f t="shared" si="11"/>
        <v>14</v>
      </c>
      <c r="AH53" s="86">
        <f t="shared" si="11"/>
        <v>0</v>
      </c>
      <c r="AI53" s="86">
        <f t="shared" si="11"/>
        <v>35</v>
      </c>
      <c r="AL53" s="60" t="s">
        <v>1978</v>
      </c>
      <c r="AM53" s="86">
        <f t="shared" ref="AM53:AR53" si="12">SUM(AM39:AM41)</f>
        <v>4</v>
      </c>
      <c r="AN53" s="86">
        <f t="shared" si="12"/>
        <v>0</v>
      </c>
      <c r="AO53" s="86">
        <f t="shared" si="12"/>
        <v>0</v>
      </c>
      <c r="AP53" s="86">
        <f t="shared" si="12"/>
        <v>0</v>
      </c>
      <c r="AQ53" s="86">
        <f t="shared" si="12"/>
        <v>0</v>
      </c>
      <c r="AR53" s="86">
        <f t="shared" si="12"/>
        <v>40</v>
      </c>
      <c r="AS53" s="5">
        <f>SUM(AS39:AS41)</f>
        <v>4</v>
      </c>
      <c r="AT53" s="86">
        <f>SUM(AT39:AT41)</f>
        <v>45</v>
      </c>
      <c r="AZ53" s="19"/>
      <c r="BA53" s="19"/>
      <c r="BB53" s="19"/>
      <c r="BC53" s="19"/>
      <c r="BD53" s="19"/>
    </row>
    <row r="54" spans="2:56" ht="16.5" customHeight="1">
      <c r="AA54" s="60" t="s">
        <v>1979</v>
      </c>
      <c r="AB54" s="86">
        <f>SUM(AB42:AB44)</f>
        <v>4</v>
      </c>
      <c r="AC54" s="86">
        <f t="shared" ref="AC54:AI54" si="13">SUM(AC42:AC44)</f>
        <v>0</v>
      </c>
      <c r="AD54" s="86">
        <f t="shared" si="13"/>
        <v>0</v>
      </c>
      <c r="AE54" s="86">
        <f t="shared" si="13"/>
        <v>0</v>
      </c>
      <c r="AF54" s="86">
        <f t="shared" si="13"/>
        <v>4</v>
      </c>
      <c r="AG54" s="86">
        <f t="shared" si="13"/>
        <v>29</v>
      </c>
      <c r="AH54" s="86">
        <f t="shared" si="13"/>
        <v>0</v>
      </c>
      <c r="AI54" s="86">
        <f t="shared" si="13"/>
        <v>35</v>
      </c>
      <c r="AL54" s="60" t="s">
        <v>1979</v>
      </c>
      <c r="AM54" s="86">
        <f t="shared" ref="AM54:AR54" si="14">SUM(AM42:AM44)</f>
        <v>0</v>
      </c>
      <c r="AN54" s="86">
        <f t="shared" si="14"/>
        <v>0</v>
      </c>
      <c r="AO54" s="86">
        <f t="shared" si="14"/>
        <v>0</v>
      </c>
      <c r="AP54" s="86">
        <f t="shared" si="14"/>
        <v>0</v>
      </c>
      <c r="AQ54" s="86">
        <f t="shared" si="14"/>
        <v>0</v>
      </c>
      <c r="AR54" s="86">
        <f t="shared" si="14"/>
        <v>25</v>
      </c>
      <c r="AS54" s="5">
        <f>SUM(AS42:AS44)</f>
        <v>0</v>
      </c>
      <c r="AT54" s="86">
        <f>SUM(AT42:AT44)</f>
        <v>25</v>
      </c>
      <c r="AZ54" s="19"/>
      <c r="BA54" s="19"/>
      <c r="BB54" s="19"/>
      <c r="BC54" s="19"/>
      <c r="BD54" s="19"/>
    </row>
    <row r="55" spans="2:56" ht="16.5" customHeight="1">
      <c r="B55" s="360" t="str">
        <f>"Chart 13a. "&amp;City_label&amp;" number of households by income category and race, 2019"</f>
        <v>Chart 13a. Entiat number of households by income category and race, 2019</v>
      </c>
      <c r="C55" s="360"/>
      <c r="D55" s="360"/>
      <c r="E55" s="360"/>
      <c r="F55" s="360"/>
      <c r="G55" s="360"/>
      <c r="H55" s="360"/>
      <c r="I55" s="360"/>
      <c r="U55" s="19"/>
      <c r="W55" s="25"/>
      <c r="X55" s="19"/>
      <c r="AA55" s="60" t="s">
        <v>1897</v>
      </c>
      <c r="AB55" s="86">
        <f>SUM(AB45:AB47)</f>
        <v>14</v>
      </c>
      <c r="AC55" s="86">
        <f t="shared" ref="AC55:AI55" si="15">SUM(AC45:AC47)</f>
        <v>0</v>
      </c>
      <c r="AD55" s="86">
        <f t="shared" si="15"/>
        <v>0</v>
      </c>
      <c r="AE55" s="86">
        <f t="shared" si="15"/>
        <v>0</v>
      </c>
      <c r="AF55" s="86">
        <f t="shared" si="15"/>
        <v>0</v>
      </c>
      <c r="AG55" s="86">
        <f t="shared" si="15"/>
        <v>109</v>
      </c>
      <c r="AH55" s="86">
        <f t="shared" si="15"/>
        <v>0</v>
      </c>
      <c r="AI55" s="86">
        <f t="shared" si="15"/>
        <v>134</v>
      </c>
      <c r="AL55" s="60" t="s">
        <v>1897</v>
      </c>
      <c r="AM55" s="86">
        <f t="shared" ref="AM55:AR55" si="16">SUM(AM45:AM47)</f>
        <v>20</v>
      </c>
      <c r="AN55" s="86">
        <f t="shared" si="16"/>
        <v>0</v>
      </c>
      <c r="AO55" s="86">
        <f t="shared" si="16"/>
        <v>0</v>
      </c>
      <c r="AP55" s="86">
        <f t="shared" si="16"/>
        <v>4</v>
      </c>
      <c r="AQ55" s="86">
        <f t="shared" si="16"/>
        <v>10</v>
      </c>
      <c r="AR55" s="86">
        <f t="shared" si="16"/>
        <v>140</v>
      </c>
      <c r="AS55" s="5">
        <f>SUM(AS45:AS47)</f>
        <v>0</v>
      </c>
      <c r="AT55" s="86">
        <f>SUM(AT45:AT47)</f>
        <v>175</v>
      </c>
      <c r="AZ55" s="19"/>
      <c r="BA55" s="19"/>
      <c r="BB55" s="19"/>
      <c r="BC55" s="19"/>
      <c r="BD55" s="19"/>
    </row>
    <row r="56" spans="2:56" ht="16.5" customHeight="1">
      <c r="B56" s="360"/>
      <c r="C56" s="360"/>
      <c r="D56" s="360"/>
      <c r="E56" s="360"/>
      <c r="F56" s="360"/>
      <c r="G56" s="360"/>
      <c r="H56" s="360"/>
      <c r="I56" s="360"/>
      <c r="U56" s="19"/>
      <c r="W56" s="25"/>
      <c r="X56" s="19"/>
      <c r="AA56" s="163" t="s">
        <v>2841</v>
      </c>
      <c r="AB56" s="128">
        <f>SUM(AB51:AB55)</f>
        <v>36</v>
      </c>
      <c r="AC56" s="128">
        <f t="shared" ref="AC56:AI56" si="17">SUM(AC51:AC55)</f>
        <v>0</v>
      </c>
      <c r="AD56" s="128">
        <f t="shared" si="17"/>
        <v>0</v>
      </c>
      <c r="AE56" s="128">
        <f t="shared" si="17"/>
        <v>0</v>
      </c>
      <c r="AF56" s="128">
        <f t="shared" si="17"/>
        <v>4</v>
      </c>
      <c r="AG56" s="128">
        <f t="shared" si="17"/>
        <v>222</v>
      </c>
      <c r="AH56" s="128">
        <f t="shared" si="17"/>
        <v>0</v>
      </c>
      <c r="AI56" s="128">
        <f t="shared" si="17"/>
        <v>284</v>
      </c>
      <c r="AJ56" s="86"/>
      <c r="AL56" s="163" t="s">
        <v>2841</v>
      </c>
      <c r="AM56" s="128">
        <f t="shared" ref="AM56:AT56" si="18">SUM(AM51:AM55)</f>
        <v>39</v>
      </c>
      <c r="AN56" s="128">
        <f t="shared" si="18"/>
        <v>0</v>
      </c>
      <c r="AO56" s="128">
        <f t="shared" si="18"/>
        <v>0</v>
      </c>
      <c r="AP56" s="128">
        <f t="shared" si="18"/>
        <v>4</v>
      </c>
      <c r="AQ56" s="128">
        <f t="shared" si="18"/>
        <v>10</v>
      </c>
      <c r="AR56" s="128">
        <f t="shared" si="18"/>
        <v>264</v>
      </c>
      <c r="AS56" s="246">
        <f>SUM(AS51:AS55)</f>
        <v>4</v>
      </c>
      <c r="AT56" s="128">
        <f t="shared" si="18"/>
        <v>319</v>
      </c>
      <c r="AU56" s="86">
        <f>(SUM(AM56:AS56))-AT56</f>
        <v>2</v>
      </c>
      <c r="AZ56" s="19"/>
      <c r="BA56" s="19"/>
      <c r="BB56" s="19"/>
      <c r="BC56" s="19"/>
      <c r="BD56" s="19"/>
    </row>
    <row r="57" spans="2:56" ht="13.9" customHeight="1">
      <c r="U57" s="19"/>
      <c r="W57" s="25"/>
      <c r="X57" s="19"/>
      <c r="AA57" s="200"/>
      <c r="AC57" s="28"/>
      <c r="AD57" s="28"/>
      <c r="AG57" s="28"/>
      <c r="AH57" s="164"/>
      <c r="AI57" s="28"/>
      <c r="AL57" s="169"/>
      <c r="AZ57" s="19"/>
      <c r="BA57" s="19"/>
      <c r="BB57" s="19"/>
      <c r="BC57" s="19"/>
      <c r="BD57" s="19"/>
    </row>
    <row r="58" spans="2:56" ht="13.9" customHeight="1">
      <c r="U58" s="19"/>
      <c r="W58" s="25"/>
      <c r="X58" s="19"/>
      <c r="AZ58" s="19"/>
      <c r="BA58" s="19"/>
      <c r="BB58" s="19"/>
      <c r="BC58" s="19"/>
      <c r="BD58" s="19"/>
    </row>
    <row r="59" spans="2:56" ht="13.9" customHeight="1">
      <c r="U59" s="19"/>
      <c r="W59" s="25"/>
      <c r="X59" s="19"/>
      <c r="AA59" s="162" t="s">
        <v>2738</v>
      </c>
      <c r="AB59" s="162"/>
      <c r="AC59" s="162"/>
      <c r="AD59" s="162"/>
      <c r="AE59" s="162"/>
      <c r="AF59" s="162"/>
      <c r="AG59" s="162"/>
      <c r="AH59" s="162"/>
      <c r="AI59" s="162"/>
      <c r="AJ59" s="162"/>
      <c r="AL59" s="162" t="s">
        <v>2738</v>
      </c>
      <c r="AM59" s="162"/>
      <c r="AN59" s="162"/>
      <c r="AO59" s="162"/>
      <c r="AP59" s="162"/>
      <c r="AQ59" s="162"/>
      <c r="AR59" s="162"/>
      <c r="AS59" s="162"/>
      <c r="AT59" s="162"/>
      <c r="AU59" s="162"/>
      <c r="AV59" s="162"/>
      <c r="AZ59" s="19"/>
      <c r="BA59" s="19"/>
      <c r="BB59" s="19"/>
      <c r="BC59" s="19"/>
      <c r="BD59" s="19"/>
    </row>
    <row r="60" spans="2:56" ht="13.9" customHeight="1">
      <c r="U60" s="19"/>
      <c r="W60" s="25"/>
      <c r="X60" s="19"/>
      <c r="AA60" s="169" t="s">
        <v>2763</v>
      </c>
      <c r="AB60" s="170" t="s">
        <v>2515</v>
      </c>
      <c r="AC60" s="170"/>
      <c r="AD60" s="170"/>
      <c r="AE60" s="170"/>
      <c r="AF60" s="170"/>
      <c r="AG60" s="171"/>
      <c r="AH60" s="171"/>
      <c r="AL60" s="169" t="s">
        <v>2763</v>
      </c>
      <c r="AM60" s="170" t="s">
        <v>2736</v>
      </c>
      <c r="AN60" s="170"/>
      <c r="AO60" s="170"/>
      <c r="AP60" s="170"/>
      <c r="AQ60" s="170"/>
      <c r="AR60" s="171"/>
      <c r="AS60" s="171"/>
      <c r="AV60" s="86"/>
      <c r="AZ60" s="19"/>
      <c r="BA60" s="19"/>
      <c r="BB60" s="19"/>
      <c r="BC60" s="19"/>
      <c r="BD60" s="19"/>
    </row>
    <row r="61" spans="2:56" ht="18.75" customHeight="1">
      <c r="U61" s="19"/>
      <c r="W61" s="25"/>
      <c r="X61" s="19"/>
      <c r="AB61" s="348" t="s">
        <v>2790</v>
      </c>
      <c r="AC61" s="348" t="s">
        <v>2673</v>
      </c>
      <c r="AD61" s="348" t="s">
        <v>2666</v>
      </c>
      <c r="AE61" s="348" t="s">
        <v>2721</v>
      </c>
      <c r="AF61" s="348" t="s">
        <v>2720</v>
      </c>
      <c r="AG61" s="348" t="s">
        <v>2672</v>
      </c>
      <c r="AH61" s="178"/>
      <c r="AI61" s="348" t="s">
        <v>2</v>
      </c>
      <c r="AM61" s="348" t="s">
        <v>2790</v>
      </c>
      <c r="AN61" s="348" t="s">
        <v>2673</v>
      </c>
      <c r="AO61" s="348" t="s">
        <v>2666</v>
      </c>
      <c r="AP61" s="348" t="s">
        <v>2721</v>
      </c>
      <c r="AQ61" s="348" t="s">
        <v>2720</v>
      </c>
      <c r="AR61" s="348" t="s">
        <v>2672</v>
      </c>
      <c r="AS61" s="348" t="s">
        <v>2810</v>
      </c>
      <c r="AT61" s="348" t="s">
        <v>2</v>
      </c>
      <c r="AZ61" s="19"/>
      <c r="BA61" s="19"/>
      <c r="BB61" s="19"/>
      <c r="BC61" s="19"/>
      <c r="BD61" s="19"/>
    </row>
    <row r="62" spans="2:56" ht="18.75" customHeight="1">
      <c r="U62" s="19"/>
      <c r="W62" s="25"/>
      <c r="X62" s="19"/>
      <c r="AB62" s="348"/>
      <c r="AC62" s="348"/>
      <c r="AD62" s="348"/>
      <c r="AE62" s="348"/>
      <c r="AF62" s="348"/>
      <c r="AG62" s="348"/>
      <c r="AH62" s="178"/>
      <c r="AI62" s="348"/>
      <c r="AM62" s="348"/>
      <c r="AN62" s="348"/>
      <c r="AO62" s="348"/>
      <c r="AP62" s="348"/>
      <c r="AQ62" s="348"/>
      <c r="AR62" s="348"/>
      <c r="AS62" s="348"/>
      <c r="AT62" s="348"/>
      <c r="AZ62" s="19"/>
      <c r="BA62" s="19"/>
      <c r="BB62" s="19"/>
      <c r="BC62" s="19"/>
      <c r="BD62" s="19"/>
    </row>
    <row r="63" spans="2:56" ht="16.5" customHeight="1">
      <c r="U63" s="19"/>
      <c r="W63" s="25"/>
      <c r="X63" s="19"/>
      <c r="AA63" s="61" t="s">
        <v>1976</v>
      </c>
      <c r="AB63" s="348"/>
      <c r="AC63" s="348"/>
      <c r="AD63" s="348"/>
      <c r="AE63" s="348"/>
      <c r="AF63" s="348"/>
      <c r="AG63" s="348"/>
      <c r="AH63" s="178"/>
      <c r="AI63" s="348"/>
      <c r="AL63" s="61" t="s">
        <v>1976</v>
      </c>
      <c r="AM63" s="348"/>
      <c r="AN63" s="348"/>
      <c r="AO63" s="348"/>
      <c r="AP63" s="348"/>
      <c r="AQ63" s="348"/>
      <c r="AR63" s="348"/>
      <c r="AS63" s="348"/>
      <c r="AT63" s="348"/>
      <c r="AU63" s="87"/>
      <c r="AZ63" s="19"/>
      <c r="BA63" s="19"/>
      <c r="BB63" s="19"/>
      <c r="BC63" s="19"/>
      <c r="BD63" s="19"/>
    </row>
    <row r="64" spans="2:56" ht="16.5" customHeight="1">
      <c r="U64" s="19"/>
      <c r="W64" s="25"/>
      <c r="X64" s="19"/>
      <c r="AA64" s="60" t="s">
        <v>2762</v>
      </c>
      <c r="AB64" s="173" t="s">
        <v>2070</v>
      </c>
      <c r="AC64" s="173" t="s">
        <v>2066</v>
      </c>
      <c r="AD64" s="173" t="s">
        <v>2067</v>
      </c>
      <c r="AE64" s="173" t="s">
        <v>2069</v>
      </c>
      <c r="AF64" s="173" t="s">
        <v>2068</v>
      </c>
      <c r="AG64" s="173" t="s">
        <v>2065</v>
      </c>
      <c r="AH64" s="7"/>
      <c r="AI64" s="173" t="s">
        <v>2064</v>
      </c>
      <c r="AL64" s="60" t="s">
        <v>2762</v>
      </c>
      <c r="AM64" s="112" t="s">
        <v>2119</v>
      </c>
      <c r="AN64" s="112" t="s">
        <v>2115</v>
      </c>
      <c r="AO64" s="112" t="s">
        <v>2116</v>
      </c>
      <c r="AP64" s="112" t="s">
        <v>2118</v>
      </c>
      <c r="AQ64" s="112" t="s">
        <v>2117</v>
      </c>
      <c r="AR64" s="112" t="s">
        <v>1989</v>
      </c>
      <c r="AS64" s="112" t="s">
        <v>2128</v>
      </c>
      <c r="AT64" s="112" t="s">
        <v>2114</v>
      </c>
      <c r="AU64" s="7"/>
      <c r="AZ64" s="19"/>
      <c r="BA64" s="19"/>
      <c r="BB64" s="19"/>
      <c r="BC64" s="19"/>
      <c r="BD64" s="19"/>
    </row>
    <row r="65" spans="2:56" ht="16.5" customHeight="1">
      <c r="U65" s="19"/>
      <c r="W65" s="25"/>
      <c r="X65" s="19"/>
      <c r="AB65" s="173" t="s">
        <v>2105</v>
      </c>
      <c r="AC65" s="173" t="s">
        <v>2101</v>
      </c>
      <c r="AD65" s="173" t="s">
        <v>2102</v>
      </c>
      <c r="AE65" s="173" t="s">
        <v>2104</v>
      </c>
      <c r="AF65" s="173" t="s">
        <v>2103</v>
      </c>
      <c r="AG65" s="173" t="s">
        <v>2100</v>
      </c>
      <c r="AH65" s="7"/>
      <c r="AI65" s="173" t="s">
        <v>2099</v>
      </c>
      <c r="AM65" s="112" t="s">
        <v>2158</v>
      </c>
      <c r="AN65" s="112" t="s">
        <v>2154</v>
      </c>
      <c r="AO65" s="112" t="s">
        <v>2155</v>
      </c>
      <c r="AP65" s="112" t="s">
        <v>2157</v>
      </c>
      <c r="AQ65" s="112" t="s">
        <v>2156</v>
      </c>
      <c r="AR65" s="112" t="s">
        <v>1990</v>
      </c>
      <c r="AS65" s="112" t="s">
        <v>2166</v>
      </c>
      <c r="AT65" s="112" t="s">
        <v>2153</v>
      </c>
      <c r="AZ65" s="19"/>
      <c r="BA65" s="19"/>
      <c r="BB65" s="19"/>
      <c r="BC65" s="19"/>
      <c r="BD65" s="19"/>
    </row>
    <row r="66" spans="2:56" ht="16.5" customHeight="1">
      <c r="U66" s="19"/>
      <c r="W66" s="25"/>
      <c r="X66" s="19"/>
      <c r="AA66" s="60" t="s">
        <v>1977</v>
      </c>
      <c r="AB66" s="173" t="s">
        <v>2076</v>
      </c>
      <c r="AC66" s="173" t="s">
        <v>2073</v>
      </c>
      <c r="AD66" s="173" t="s">
        <v>1988</v>
      </c>
      <c r="AE66" s="173" t="s">
        <v>2075</v>
      </c>
      <c r="AF66" s="173" t="s">
        <v>2074</v>
      </c>
      <c r="AG66" s="173" t="s">
        <v>2072</v>
      </c>
      <c r="AH66" s="7"/>
      <c r="AI66" s="173" t="s">
        <v>2071</v>
      </c>
      <c r="AM66" s="112" t="s">
        <v>2196</v>
      </c>
      <c r="AN66" s="112" t="s">
        <v>2192</v>
      </c>
      <c r="AO66" s="112" t="s">
        <v>2193</v>
      </c>
      <c r="AP66" s="112" t="s">
        <v>2195</v>
      </c>
      <c r="AQ66" s="112" t="s">
        <v>2194</v>
      </c>
      <c r="AR66" s="112" t="s">
        <v>1991</v>
      </c>
      <c r="AS66" s="112" t="s">
        <v>2204</v>
      </c>
      <c r="AT66" s="112" t="s">
        <v>2191</v>
      </c>
      <c r="AZ66" s="19"/>
      <c r="BA66" s="19"/>
      <c r="BB66" s="19"/>
      <c r="BC66" s="19"/>
      <c r="BD66" s="19"/>
    </row>
    <row r="67" spans="2:56" ht="16.5" customHeight="1">
      <c r="U67" s="19"/>
      <c r="W67" s="25"/>
      <c r="X67" s="19"/>
      <c r="AB67" s="173" t="s">
        <v>2112</v>
      </c>
      <c r="AC67" s="173" t="s">
        <v>2108</v>
      </c>
      <c r="AD67" s="173" t="s">
        <v>2109</v>
      </c>
      <c r="AE67" s="173" t="s">
        <v>2111</v>
      </c>
      <c r="AF67" s="173" t="s">
        <v>2110</v>
      </c>
      <c r="AG67" s="173" t="s">
        <v>2107</v>
      </c>
      <c r="AH67" s="7"/>
      <c r="AI67" s="173" t="s">
        <v>2106</v>
      </c>
      <c r="AL67" s="60" t="s">
        <v>1977</v>
      </c>
      <c r="AM67" s="112" t="s">
        <v>2127</v>
      </c>
      <c r="AN67" s="112" t="s">
        <v>2123</v>
      </c>
      <c r="AO67" s="112" t="s">
        <v>2124</v>
      </c>
      <c r="AP67" s="112" t="s">
        <v>2126</v>
      </c>
      <c r="AQ67" s="112" t="s">
        <v>2125</v>
      </c>
      <c r="AR67" s="112" t="s">
        <v>2122</v>
      </c>
      <c r="AS67" s="112" t="s">
        <v>2136</v>
      </c>
      <c r="AT67" s="112" t="s">
        <v>2121</v>
      </c>
      <c r="AZ67" s="19"/>
      <c r="BA67" s="19"/>
      <c r="BB67" s="19"/>
      <c r="BC67" s="19"/>
      <c r="BD67" s="19"/>
    </row>
    <row r="68" spans="2:56" ht="16.5" customHeight="1">
      <c r="U68" s="19"/>
      <c r="W68" s="25"/>
      <c r="X68" s="19"/>
      <c r="AA68" s="60" t="s">
        <v>1978</v>
      </c>
      <c r="AB68" s="173" t="s">
        <v>2083</v>
      </c>
      <c r="AC68" s="173" t="s">
        <v>2079</v>
      </c>
      <c r="AD68" s="173" t="s">
        <v>2080</v>
      </c>
      <c r="AE68" s="173" t="s">
        <v>2082</v>
      </c>
      <c r="AF68" s="173" t="s">
        <v>2081</v>
      </c>
      <c r="AG68" s="173" t="s">
        <v>2078</v>
      </c>
      <c r="AH68" s="7"/>
      <c r="AI68" s="173" t="s">
        <v>2077</v>
      </c>
      <c r="AM68" s="112" t="s">
        <v>2165</v>
      </c>
      <c r="AN68" s="112" t="s">
        <v>2161</v>
      </c>
      <c r="AO68" s="112" t="s">
        <v>2162</v>
      </c>
      <c r="AP68" s="112" t="s">
        <v>2164</v>
      </c>
      <c r="AQ68" s="112" t="s">
        <v>2163</v>
      </c>
      <c r="AR68" s="112" t="s">
        <v>2160</v>
      </c>
      <c r="AS68" s="112" t="s">
        <v>2174</v>
      </c>
      <c r="AT68" s="112" t="s">
        <v>2159</v>
      </c>
      <c r="AZ68" s="19"/>
      <c r="BA68" s="19"/>
      <c r="BB68" s="19"/>
      <c r="BC68" s="19"/>
      <c r="BD68" s="19"/>
    </row>
    <row r="69" spans="2:56" ht="16.5" customHeight="1">
      <c r="U69" s="19"/>
      <c r="W69" s="25"/>
      <c r="X69" s="19"/>
      <c r="AB69" s="173" t="s">
        <v>2118</v>
      </c>
      <c r="AC69" s="173" t="s">
        <v>1989</v>
      </c>
      <c r="AD69" s="173" t="s">
        <v>2115</v>
      </c>
      <c r="AE69" s="173" t="s">
        <v>2117</v>
      </c>
      <c r="AF69" s="173" t="s">
        <v>2116</v>
      </c>
      <c r="AG69" s="173" t="s">
        <v>2114</v>
      </c>
      <c r="AH69" s="7"/>
      <c r="AI69" s="173" t="s">
        <v>2113</v>
      </c>
      <c r="AM69" s="112" t="s">
        <v>2203</v>
      </c>
      <c r="AN69" s="112" t="s">
        <v>2199</v>
      </c>
      <c r="AO69" s="112" t="s">
        <v>2200</v>
      </c>
      <c r="AP69" s="112" t="s">
        <v>2202</v>
      </c>
      <c r="AQ69" s="112" t="s">
        <v>2201</v>
      </c>
      <c r="AR69" s="112" t="s">
        <v>2198</v>
      </c>
      <c r="AS69" s="112" t="s">
        <v>2212</v>
      </c>
      <c r="AT69" s="112" t="s">
        <v>2197</v>
      </c>
      <c r="AZ69" s="19"/>
      <c r="BA69" s="19"/>
      <c r="BB69" s="19"/>
      <c r="BC69" s="19"/>
      <c r="BD69" s="19"/>
    </row>
    <row r="70" spans="2:56" ht="16.5" customHeight="1">
      <c r="U70" s="19"/>
      <c r="W70" s="25"/>
      <c r="X70" s="19"/>
      <c r="AA70" s="60" t="s">
        <v>1979</v>
      </c>
      <c r="AB70" s="173" t="s">
        <v>2090</v>
      </c>
      <c r="AC70" s="173" t="s">
        <v>2086</v>
      </c>
      <c r="AD70" s="173" t="s">
        <v>2087</v>
      </c>
      <c r="AE70" s="173" t="s">
        <v>2089</v>
      </c>
      <c r="AF70" s="173" t="s">
        <v>2088</v>
      </c>
      <c r="AG70" s="173" t="s">
        <v>2085</v>
      </c>
      <c r="AH70" s="7"/>
      <c r="AI70" s="173" t="s">
        <v>2084</v>
      </c>
      <c r="AL70" s="60" t="s">
        <v>1978</v>
      </c>
      <c r="AM70" s="112" t="s">
        <v>2135</v>
      </c>
      <c r="AN70" s="112" t="s">
        <v>2131</v>
      </c>
      <c r="AO70" s="112" t="s">
        <v>2132</v>
      </c>
      <c r="AP70" s="112" t="s">
        <v>2134</v>
      </c>
      <c r="AQ70" s="112" t="s">
        <v>2133</v>
      </c>
      <c r="AR70" s="112" t="s">
        <v>2130</v>
      </c>
      <c r="AS70" s="112" t="s">
        <v>2144</v>
      </c>
      <c r="AT70" s="112" t="s">
        <v>2129</v>
      </c>
      <c r="AZ70" s="19"/>
      <c r="BA70" s="19"/>
      <c r="BB70" s="19"/>
      <c r="BC70" s="19"/>
      <c r="BD70" s="19"/>
    </row>
    <row r="71" spans="2:56" ht="16.5" customHeight="1">
      <c r="U71" s="19"/>
      <c r="W71" s="25"/>
      <c r="X71" s="19"/>
      <c r="AB71" s="173" t="s">
        <v>2125</v>
      </c>
      <c r="AC71" s="173" t="s">
        <v>2121</v>
      </c>
      <c r="AD71" s="173" t="s">
        <v>2122</v>
      </c>
      <c r="AE71" s="173" t="s">
        <v>2124</v>
      </c>
      <c r="AF71" s="173" t="s">
        <v>2123</v>
      </c>
      <c r="AG71" s="173" t="s">
        <v>2120</v>
      </c>
      <c r="AH71" s="7"/>
      <c r="AI71" s="173" t="s">
        <v>2119</v>
      </c>
      <c r="AM71" s="112" t="s">
        <v>2173</v>
      </c>
      <c r="AN71" s="112" t="s">
        <v>2169</v>
      </c>
      <c r="AO71" s="112" t="s">
        <v>2170</v>
      </c>
      <c r="AP71" s="112" t="s">
        <v>2172</v>
      </c>
      <c r="AQ71" s="112" t="s">
        <v>2171</v>
      </c>
      <c r="AR71" s="112" t="s">
        <v>2168</v>
      </c>
      <c r="AS71" s="112" t="s">
        <v>2182</v>
      </c>
      <c r="AT71" s="112" t="s">
        <v>2167</v>
      </c>
      <c r="AZ71" s="19"/>
      <c r="BA71" s="19"/>
      <c r="BB71" s="19"/>
      <c r="BC71" s="19"/>
      <c r="BD71" s="19"/>
    </row>
    <row r="72" spans="2:56" ht="16.5" customHeight="1">
      <c r="U72" s="19"/>
      <c r="W72" s="25"/>
      <c r="X72" s="19"/>
      <c r="AA72" s="60" t="s">
        <v>1897</v>
      </c>
      <c r="AB72" s="173" t="s">
        <v>2097</v>
      </c>
      <c r="AC72" s="173" t="s">
        <v>2093</v>
      </c>
      <c r="AD72" s="173" t="s">
        <v>2094</v>
      </c>
      <c r="AE72" s="173" t="s">
        <v>2096</v>
      </c>
      <c r="AF72" s="173" t="s">
        <v>2095</v>
      </c>
      <c r="AG72" s="173" t="s">
        <v>2092</v>
      </c>
      <c r="AH72" s="7"/>
      <c r="AI72" s="173" t="s">
        <v>2091</v>
      </c>
      <c r="AM72" s="112" t="s">
        <v>2211</v>
      </c>
      <c r="AN72" s="112" t="s">
        <v>2207</v>
      </c>
      <c r="AO72" s="112" t="s">
        <v>2208</v>
      </c>
      <c r="AP72" s="112" t="s">
        <v>2210</v>
      </c>
      <c r="AQ72" s="112" t="s">
        <v>2209</v>
      </c>
      <c r="AR72" s="112" t="s">
        <v>2206</v>
      </c>
      <c r="AS72" s="112" t="s">
        <v>2220</v>
      </c>
      <c r="AT72" s="112" t="s">
        <v>2205</v>
      </c>
      <c r="AZ72" s="19"/>
      <c r="BA72" s="19"/>
      <c r="BB72" s="19"/>
      <c r="BC72" s="19"/>
      <c r="BD72" s="19"/>
    </row>
    <row r="73" spans="2:56" ht="16.5" customHeight="1">
      <c r="U73" s="19"/>
      <c r="W73" s="25"/>
      <c r="X73" s="19"/>
      <c r="AB73" s="173" t="s">
        <v>2132</v>
      </c>
      <c r="AC73" s="173" t="s">
        <v>2128</v>
      </c>
      <c r="AD73" s="173" t="s">
        <v>2129</v>
      </c>
      <c r="AE73" s="173" t="s">
        <v>2131</v>
      </c>
      <c r="AF73" s="173" t="s">
        <v>2130</v>
      </c>
      <c r="AG73" s="173" t="s">
        <v>2127</v>
      </c>
      <c r="AH73" s="7"/>
      <c r="AI73" s="173" t="s">
        <v>2126</v>
      </c>
      <c r="AL73" s="60" t="s">
        <v>1979</v>
      </c>
      <c r="AM73" s="112" t="s">
        <v>2143</v>
      </c>
      <c r="AN73" s="112" t="s">
        <v>2139</v>
      </c>
      <c r="AO73" s="112" t="s">
        <v>2140</v>
      </c>
      <c r="AP73" s="112" t="s">
        <v>2142</v>
      </c>
      <c r="AQ73" s="112" t="s">
        <v>2141</v>
      </c>
      <c r="AR73" s="112" t="s">
        <v>2138</v>
      </c>
      <c r="AS73" s="112" t="s">
        <v>2144</v>
      </c>
      <c r="AT73" s="112" t="s">
        <v>2137</v>
      </c>
      <c r="AZ73" s="19"/>
      <c r="BA73" s="19"/>
      <c r="BB73" s="19"/>
      <c r="BC73" s="19"/>
      <c r="BD73" s="19"/>
    </row>
    <row r="74" spans="2:56" ht="12" customHeight="1">
      <c r="U74" s="19"/>
      <c r="W74" s="25"/>
      <c r="X74" s="19"/>
      <c r="AM74" s="112" t="s">
        <v>2181</v>
      </c>
      <c r="AN74" s="112" t="s">
        <v>2177</v>
      </c>
      <c r="AO74" s="112" t="s">
        <v>2178</v>
      </c>
      <c r="AP74" s="112" t="s">
        <v>2180</v>
      </c>
      <c r="AQ74" s="112" t="s">
        <v>2179</v>
      </c>
      <c r="AR74" s="112" t="s">
        <v>2176</v>
      </c>
      <c r="AS74" s="112" t="s">
        <v>2182</v>
      </c>
      <c r="AT74" s="112" t="s">
        <v>2175</v>
      </c>
      <c r="AZ74" s="19"/>
      <c r="BA74" s="19"/>
      <c r="BB74" s="19"/>
      <c r="BC74" s="19"/>
      <c r="BD74" s="19"/>
    </row>
    <row r="75" spans="2:56" ht="16.5" customHeight="1">
      <c r="H75" s="278"/>
      <c r="I75" s="278"/>
      <c r="U75" s="19"/>
      <c r="W75" s="25"/>
      <c r="X75" s="19"/>
      <c r="AJ75" s="85" t="s">
        <v>2844</v>
      </c>
      <c r="AM75" s="112" t="s">
        <v>2219</v>
      </c>
      <c r="AN75" s="112" t="s">
        <v>2215</v>
      </c>
      <c r="AO75" s="112" t="s">
        <v>2216</v>
      </c>
      <c r="AP75" s="112" t="s">
        <v>2218</v>
      </c>
      <c r="AQ75" s="112" t="s">
        <v>2217</v>
      </c>
      <c r="AR75" s="112" t="s">
        <v>2214</v>
      </c>
      <c r="AS75" s="112" t="s">
        <v>2220</v>
      </c>
      <c r="AT75" s="112" t="s">
        <v>2213</v>
      </c>
      <c r="AZ75" s="19"/>
      <c r="BA75" s="19"/>
      <c r="BB75" s="19"/>
      <c r="BC75" s="19"/>
      <c r="BD75" s="19"/>
    </row>
    <row r="76" spans="2:56" ht="16.5" customHeight="1">
      <c r="B76" s="278" t="s">
        <v>2764</v>
      </c>
      <c r="C76" s="278"/>
      <c r="D76" s="278"/>
      <c r="E76" s="278"/>
      <c r="F76" s="278"/>
      <c r="G76" s="278"/>
      <c r="H76" s="278"/>
      <c r="I76" s="278"/>
      <c r="U76" s="19"/>
      <c r="W76" s="25"/>
      <c r="X76" s="19"/>
      <c r="AA76" s="60" t="s">
        <v>2762</v>
      </c>
      <c r="AB76" s="174">
        <v>0</v>
      </c>
      <c r="AC76" s="174">
        <v>0</v>
      </c>
      <c r="AD76" s="174">
        <v>0</v>
      </c>
      <c r="AE76" s="174">
        <v>0</v>
      </c>
      <c r="AF76" s="174">
        <v>0</v>
      </c>
      <c r="AG76" s="174">
        <v>4</v>
      </c>
      <c r="AH76" s="174"/>
      <c r="AI76" s="174">
        <v>4</v>
      </c>
      <c r="AJ76" s="86">
        <f t="shared" ref="AJ76:AJ85" si="19">(SUM(AB76:AG76))-AI76</f>
        <v>0</v>
      </c>
      <c r="AL76" s="60" t="s">
        <v>1897</v>
      </c>
      <c r="AM76" s="112" t="s">
        <v>2151</v>
      </c>
      <c r="AN76" s="112" t="s">
        <v>2147</v>
      </c>
      <c r="AO76" s="112" t="s">
        <v>2148</v>
      </c>
      <c r="AP76" s="112" t="s">
        <v>2150</v>
      </c>
      <c r="AQ76" s="112" t="s">
        <v>2149</v>
      </c>
      <c r="AR76" s="112" t="s">
        <v>2146</v>
      </c>
      <c r="AS76" s="112" t="s">
        <v>2152</v>
      </c>
      <c r="AT76" s="112" t="s">
        <v>2145</v>
      </c>
      <c r="AZ76" s="19"/>
      <c r="BA76" s="19"/>
      <c r="BB76" s="19"/>
      <c r="BC76" s="19"/>
      <c r="BD76" s="19"/>
    </row>
    <row r="77" spans="2:56" ht="16.5" customHeight="1">
      <c r="U77" s="19"/>
      <c r="W77" s="25"/>
      <c r="X77" s="19"/>
      <c r="AB77" s="174">
        <v>0</v>
      </c>
      <c r="AC77" s="174">
        <v>0</v>
      </c>
      <c r="AD77" s="174">
        <v>0</v>
      </c>
      <c r="AE77" s="174">
        <v>0</v>
      </c>
      <c r="AF77" s="174">
        <v>0</v>
      </c>
      <c r="AG77" s="174">
        <v>4</v>
      </c>
      <c r="AH77" s="174"/>
      <c r="AI77" s="174">
        <v>4</v>
      </c>
      <c r="AJ77" s="86">
        <f t="shared" si="19"/>
        <v>0</v>
      </c>
      <c r="AM77" s="112" t="s">
        <v>2189</v>
      </c>
      <c r="AN77" s="112" t="s">
        <v>2185</v>
      </c>
      <c r="AO77" s="112" t="s">
        <v>2186</v>
      </c>
      <c r="AP77" s="112" t="s">
        <v>2188</v>
      </c>
      <c r="AQ77" s="112" t="s">
        <v>2187</v>
      </c>
      <c r="AR77" s="112" t="s">
        <v>2184</v>
      </c>
      <c r="AS77" s="112" t="s">
        <v>2190</v>
      </c>
      <c r="AT77" s="112" t="s">
        <v>2183</v>
      </c>
      <c r="AZ77" s="19"/>
      <c r="BA77" s="19"/>
      <c r="BB77" s="19"/>
      <c r="BC77" s="19"/>
      <c r="BD77" s="19"/>
    </row>
    <row r="78" spans="2:56" ht="16.5" customHeight="1">
      <c r="B78" s="360" t="str">
        <f>"Chart 14. "&amp;City_label&amp;" distribution of households by income and race or ethnicity, 2019"</f>
        <v>Chart 14. Entiat distribution of households by income and race or ethnicity, 2019</v>
      </c>
      <c r="C78" s="360"/>
      <c r="D78" s="360"/>
      <c r="E78" s="360"/>
      <c r="F78" s="360"/>
      <c r="G78" s="360"/>
      <c r="H78" s="360"/>
      <c r="I78" s="360"/>
      <c r="J78" s="360"/>
      <c r="U78" s="19"/>
      <c r="W78" s="25"/>
      <c r="X78" s="19"/>
      <c r="AA78" s="60" t="s">
        <v>1977</v>
      </c>
      <c r="AB78" s="174">
        <v>0</v>
      </c>
      <c r="AC78" s="174">
        <v>0</v>
      </c>
      <c r="AD78" s="174">
        <v>0</v>
      </c>
      <c r="AE78" s="174">
        <v>0</v>
      </c>
      <c r="AF78" s="174">
        <v>0</v>
      </c>
      <c r="AG78" s="174">
        <v>10</v>
      </c>
      <c r="AH78" s="174"/>
      <c r="AI78" s="174">
        <v>10</v>
      </c>
      <c r="AJ78" s="86">
        <f t="shared" si="19"/>
        <v>0</v>
      </c>
      <c r="AM78" s="112" t="s">
        <v>2227</v>
      </c>
      <c r="AN78" s="112" t="s">
        <v>2223</v>
      </c>
      <c r="AO78" s="112" t="s">
        <v>2224</v>
      </c>
      <c r="AP78" s="112" t="s">
        <v>2226</v>
      </c>
      <c r="AQ78" s="112" t="s">
        <v>2225</v>
      </c>
      <c r="AR78" s="112" t="s">
        <v>2222</v>
      </c>
      <c r="AS78" s="112" t="s">
        <v>2228</v>
      </c>
      <c r="AT78" s="112" t="s">
        <v>2221</v>
      </c>
      <c r="AZ78" s="19"/>
      <c r="BA78" s="19"/>
      <c r="BB78" s="19"/>
      <c r="BC78" s="19"/>
      <c r="BD78" s="19"/>
    </row>
    <row r="79" spans="2:56" ht="16.5" customHeight="1">
      <c r="B79" s="360"/>
      <c r="C79" s="360"/>
      <c r="D79" s="360"/>
      <c r="E79" s="360"/>
      <c r="F79" s="360"/>
      <c r="G79" s="360"/>
      <c r="H79" s="360"/>
      <c r="I79" s="360"/>
      <c r="J79" s="360"/>
      <c r="U79" s="19"/>
      <c r="W79" s="25"/>
      <c r="X79" s="19"/>
      <c r="AB79" s="174">
        <v>0</v>
      </c>
      <c r="AC79" s="174">
        <v>0</v>
      </c>
      <c r="AD79" s="174">
        <v>0</v>
      </c>
      <c r="AE79" s="174">
        <v>0</v>
      </c>
      <c r="AF79" s="174">
        <v>0</v>
      </c>
      <c r="AG79" s="174">
        <v>0</v>
      </c>
      <c r="AH79" s="174"/>
      <c r="AI79" s="174">
        <v>0</v>
      </c>
      <c r="AJ79" s="86">
        <f t="shared" si="19"/>
        <v>0</v>
      </c>
      <c r="AZ79" s="19"/>
      <c r="BA79" s="19"/>
      <c r="BB79" s="19"/>
      <c r="BC79" s="19"/>
      <c r="BD79" s="19"/>
    </row>
    <row r="80" spans="2:56" ht="16.5" customHeight="1">
      <c r="U80" s="19"/>
      <c r="W80" s="25"/>
      <c r="X80" s="19"/>
      <c r="AA80" s="60" t="s">
        <v>1978</v>
      </c>
      <c r="AB80" s="174">
        <v>0</v>
      </c>
      <c r="AC80" s="174">
        <v>0</v>
      </c>
      <c r="AD80" s="174">
        <v>0</v>
      </c>
      <c r="AE80" s="174">
        <v>0</v>
      </c>
      <c r="AF80" s="174">
        <v>0</v>
      </c>
      <c r="AG80" s="174">
        <v>4</v>
      </c>
      <c r="AH80" s="174"/>
      <c r="AI80" s="174">
        <v>4</v>
      </c>
      <c r="AJ80" s="86">
        <f t="shared" si="19"/>
        <v>0</v>
      </c>
      <c r="AL80" s="60" t="s">
        <v>2762</v>
      </c>
      <c r="AM80" s="174">
        <v>0</v>
      </c>
      <c r="AN80" s="174">
        <v>0</v>
      </c>
      <c r="AO80" s="174">
        <v>0</v>
      </c>
      <c r="AP80" s="174">
        <v>0</v>
      </c>
      <c r="AQ80" s="174">
        <v>0</v>
      </c>
      <c r="AR80" s="174">
        <v>10</v>
      </c>
      <c r="AS80" s="174">
        <v>0</v>
      </c>
      <c r="AT80" s="174">
        <v>10</v>
      </c>
      <c r="AU80" s="86">
        <f t="shared" ref="AU80:AU94" si="20">(SUM(AM80:AS80))-AT80</f>
        <v>0</v>
      </c>
      <c r="AV80" s="86"/>
      <c r="AZ80" s="19"/>
      <c r="BA80" s="19"/>
      <c r="BB80" s="19"/>
      <c r="BC80" s="19"/>
      <c r="BD80" s="19"/>
    </row>
    <row r="81" spans="21:56" ht="16.5" customHeight="1">
      <c r="U81" s="19"/>
      <c r="W81" s="25"/>
      <c r="X81" s="19"/>
      <c r="AB81" s="174">
        <v>0</v>
      </c>
      <c r="AC81" s="174">
        <v>0</v>
      </c>
      <c r="AD81" s="174">
        <v>0</v>
      </c>
      <c r="AE81" s="174">
        <v>0</v>
      </c>
      <c r="AF81" s="174">
        <v>0</v>
      </c>
      <c r="AG81" s="174">
        <v>15</v>
      </c>
      <c r="AH81" s="174"/>
      <c r="AI81" s="174">
        <v>15</v>
      </c>
      <c r="AJ81" s="86">
        <f t="shared" si="19"/>
        <v>0</v>
      </c>
      <c r="AM81" s="174">
        <v>0</v>
      </c>
      <c r="AN81" s="174">
        <v>0</v>
      </c>
      <c r="AO81" s="174">
        <v>0</v>
      </c>
      <c r="AP81" s="174">
        <v>0</v>
      </c>
      <c r="AQ81" s="174">
        <v>0</v>
      </c>
      <c r="AR81" s="174">
        <v>10</v>
      </c>
      <c r="AS81" s="174">
        <v>0</v>
      </c>
      <c r="AT81" s="174">
        <v>10</v>
      </c>
      <c r="AU81" s="86">
        <f t="shared" si="20"/>
        <v>0</v>
      </c>
      <c r="AV81" s="86"/>
      <c r="AZ81" s="19"/>
      <c r="BA81" s="19"/>
      <c r="BB81" s="19"/>
      <c r="BC81" s="19"/>
      <c r="BD81" s="19"/>
    </row>
    <row r="82" spans="21:56" ht="16.5" customHeight="1">
      <c r="U82" s="19"/>
      <c r="W82" s="25"/>
      <c r="X82" s="19"/>
      <c r="AA82" s="60" t="s">
        <v>1979</v>
      </c>
      <c r="AB82" s="174">
        <v>0</v>
      </c>
      <c r="AC82" s="174">
        <v>0</v>
      </c>
      <c r="AD82" s="174">
        <v>0</v>
      </c>
      <c r="AE82" s="174">
        <v>0</v>
      </c>
      <c r="AF82" s="174">
        <v>0</v>
      </c>
      <c r="AG82" s="174">
        <v>10</v>
      </c>
      <c r="AH82" s="174"/>
      <c r="AI82" s="174">
        <v>10</v>
      </c>
      <c r="AJ82" s="86">
        <f t="shared" si="19"/>
        <v>0</v>
      </c>
      <c r="AM82" s="174">
        <v>0</v>
      </c>
      <c r="AN82" s="174">
        <v>0</v>
      </c>
      <c r="AO82" s="174">
        <v>0</v>
      </c>
      <c r="AP82" s="174">
        <v>0</v>
      </c>
      <c r="AQ82" s="174">
        <v>0</v>
      </c>
      <c r="AR82" s="174">
        <v>10</v>
      </c>
      <c r="AS82" s="174">
        <v>0</v>
      </c>
      <c r="AT82" s="174">
        <v>10</v>
      </c>
      <c r="AU82" s="86">
        <f t="shared" si="20"/>
        <v>0</v>
      </c>
      <c r="AV82" s="86"/>
      <c r="AZ82" s="19"/>
      <c r="BA82" s="19"/>
      <c r="BB82" s="19"/>
      <c r="BC82" s="19"/>
      <c r="BD82" s="19"/>
    </row>
    <row r="83" spans="21:56" ht="16.5" customHeight="1">
      <c r="U83" s="19"/>
      <c r="W83" s="25"/>
      <c r="X83" s="19"/>
      <c r="AB83" s="174">
        <v>15</v>
      </c>
      <c r="AC83" s="174">
        <v>0</v>
      </c>
      <c r="AD83" s="174">
        <v>0</v>
      </c>
      <c r="AE83" s="174">
        <v>0</v>
      </c>
      <c r="AF83" s="174">
        <v>0</v>
      </c>
      <c r="AG83" s="174">
        <v>0</v>
      </c>
      <c r="AH83" s="174"/>
      <c r="AI83" s="174">
        <v>15</v>
      </c>
      <c r="AJ83" s="86">
        <f t="shared" si="19"/>
        <v>0</v>
      </c>
      <c r="AL83" s="60" t="s">
        <v>1977</v>
      </c>
      <c r="AM83" s="174">
        <v>0</v>
      </c>
      <c r="AN83" s="174">
        <v>0</v>
      </c>
      <c r="AO83" s="174">
        <v>0</v>
      </c>
      <c r="AP83" s="174">
        <v>0</v>
      </c>
      <c r="AQ83" s="174">
        <v>0</v>
      </c>
      <c r="AR83" s="174">
        <v>15</v>
      </c>
      <c r="AS83" s="174">
        <v>0</v>
      </c>
      <c r="AT83" s="174">
        <v>15</v>
      </c>
      <c r="AU83" s="86">
        <f t="shared" si="20"/>
        <v>0</v>
      </c>
      <c r="AV83" s="86"/>
      <c r="AZ83" s="19"/>
      <c r="BA83" s="19"/>
      <c r="BB83" s="19"/>
      <c r="BC83" s="19"/>
      <c r="BD83" s="19"/>
    </row>
    <row r="84" spans="21:56" ht="16.5" customHeight="1">
      <c r="U84" s="19"/>
      <c r="W84" s="25"/>
      <c r="X84" s="19"/>
      <c r="AA84" s="60" t="s">
        <v>1897</v>
      </c>
      <c r="AB84" s="174">
        <v>0</v>
      </c>
      <c r="AC84" s="174">
        <v>0</v>
      </c>
      <c r="AD84" s="174">
        <v>0</v>
      </c>
      <c r="AE84" s="174">
        <v>0</v>
      </c>
      <c r="AF84" s="174">
        <v>0</v>
      </c>
      <c r="AG84" s="174">
        <v>0</v>
      </c>
      <c r="AH84" s="174"/>
      <c r="AI84" s="174">
        <v>0</v>
      </c>
      <c r="AJ84" s="86">
        <f t="shared" si="19"/>
        <v>0</v>
      </c>
      <c r="AM84" s="174">
        <v>4</v>
      </c>
      <c r="AN84" s="174">
        <v>0</v>
      </c>
      <c r="AO84" s="174">
        <v>0</v>
      </c>
      <c r="AP84" s="174">
        <v>0</v>
      </c>
      <c r="AQ84" s="174">
        <v>0</v>
      </c>
      <c r="AR84" s="174">
        <v>0</v>
      </c>
      <c r="AS84" s="174">
        <v>0</v>
      </c>
      <c r="AT84" s="174">
        <v>4</v>
      </c>
      <c r="AU84" s="86">
        <f t="shared" si="20"/>
        <v>0</v>
      </c>
      <c r="AV84" s="86"/>
      <c r="AZ84" s="19"/>
      <c r="BA84" s="19"/>
      <c r="BB84" s="19"/>
      <c r="BC84" s="19"/>
      <c r="BD84" s="19"/>
    </row>
    <row r="85" spans="21:56" ht="11.25" customHeight="1">
      <c r="U85" s="19"/>
      <c r="W85" s="25"/>
      <c r="X85" s="19"/>
      <c r="AB85" s="174">
        <v>50</v>
      </c>
      <c r="AC85" s="174">
        <v>0</v>
      </c>
      <c r="AD85" s="174">
        <v>0</v>
      </c>
      <c r="AE85" s="174">
        <v>0</v>
      </c>
      <c r="AF85" s="174">
        <v>0</v>
      </c>
      <c r="AG85" s="174">
        <v>20</v>
      </c>
      <c r="AH85" s="174"/>
      <c r="AI85" s="174">
        <v>70</v>
      </c>
      <c r="AJ85" s="86">
        <f t="shared" si="19"/>
        <v>0</v>
      </c>
      <c r="AM85" s="174">
        <v>0</v>
      </c>
      <c r="AN85" s="174">
        <v>0</v>
      </c>
      <c r="AO85" s="174">
        <v>0</v>
      </c>
      <c r="AP85" s="174">
        <v>0</v>
      </c>
      <c r="AQ85" s="174">
        <v>0</v>
      </c>
      <c r="AR85" s="174">
        <v>0</v>
      </c>
      <c r="AS85" s="174">
        <v>0</v>
      </c>
      <c r="AT85" s="174">
        <v>0</v>
      </c>
      <c r="AU85" s="86">
        <f t="shared" si="20"/>
        <v>0</v>
      </c>
      <c r="AV85" s="86"/>
      <c r="AZ85" s="19"/>
      <c r="BA85" s="19"/>
      <c r="BB85" s="19"/>
      <c r="BC85" s="19"/>
      <c r="BD85" s="19"/>
    </row>
    <row r="86" spans="21:56" ht="15.75" customHeight="1">
      <c r="U86" s="19"/>
      <c r="W86" s="25"/>
      <c r="X86" s="19"/>
      <c r="AB86" s="86"/>
      <c r="AC86" s="86"/>
      <c r="AD86" s="86"/>
      <c r="AE86" s="86"/>
      <c r="AF86" s="86"/>
      <c r="AG86" s="86"/>
      <c r="AH86" s="86"/>
      <c r="AI86" s="86"/>
      <c r="AJ86" s="86"/>
      <c r="AL86" s="60" t="s">
        <v>1978</v>
      </c>
      <c r="AM86" s="174">
        <v>0</v>
      </c>
      <c r="AN86" s="174">
        <v>0</v>
      </c>
      <c r="AO86" s="174">
        <v>0</v>
      </c>
      <c r="AP86" s="174">
        <v>0</v>
      </c>
      <c r="AQ86" s="174">
        <v>0</v>
      </c>
      <c r="AR86" s="174">
        <v>25</v>
      </c>
      <c r="AS86" s="174">
        <v>0</v>
      </c>
      <c r="AT86" s="174">
        <v>25</v>
      </c>
      <c r="AU86" s="86">
        <f t="shared" si="20"/>
        <v>0</v>
      </c>
      <c r="AV86" s="86"/>
      <c r="AZ86" s="19"/>
      <c r="BA86" s="19"/>
      <c r="BB86" s="19"/>
      <c r="BC86" s="19"/>
      <c r="BD86" s="19"/>
    </row>
    <row r="87" spans="21:56" ht="13.9" customHeight="1">
      <c r="U87" s="19"/>
      <c r="W87" s="25"/>
      <c r="X87" s="19"/>
      <c r="AA87" s="175" t="s">
        <v>2788</v>
      </c>
      <c r="AB87" s="86"/>
      <c r="AC87" s="86"/>
      <c r="AD87" s="86"/>
      <c r="AE87" s="86"/>
      <c r="AF87" s="86"/>
      <c r="AG87" s="86"/>
      <c r="AH87" s="86"/>
      <c r="AI87" s="174">
        <v>130</v>
      </c>
      <c r="AJ87" s="86">
        <f>SUM(AJ76:AJ85)</f>
        <v>0</v>
      </c>
      <c r="AM87" s="174">
        <v>15</v>
      </c>
      <c r="AN87" s="174">
        <v>0</v>
      </c>
      <c r="AO87" s="174">
        <v>0</v>
      </c>
      <c r="AP87" s="174">
        <v>0</v>
      </c>
      <c r="AQ87" s="174">
        <v>0</v>
      </c>
      <c r="AR87" s="174">
        <v>25</v>
      </c>
      <c r="AS87" s="174">
        <v>0</v>
      </c>
      <c r="AT87" s="174">
        <v>40</v>
      </c>
      <c r="AU87" s="86">
        <f t="shared" si="20"/>
        <v>0</v>
      </c>
      <c r="AV87" s="86"/>
      <c r="AZ87" s="19"/>
      <c r="BA87" s="19"/>
      <c r="BB87" s="19"/>
      <c r="BC87" s="19"/>
      <c r="BD87" s="19"/>
    </row>
    <row r="88" spans="21:56" ht="18" customHeight="1">
      <c r="U88" s="19"/>
      <c r="W88" s="25"/>
      <c r="X88" s="19"/>
      <c r="AM88" s="174">
        <v>0</v>
      </c>
      <c r="AN88" s="174">
        <v>0</v>
      </c>
      <c r="AO88" s="174">
        <v>0</v>
      </c>
      <c r="AP88" s="174">
        <v>0</v>
      </c>
      <c r="AQ88" s="174">
        <v>0</v>
      </c>
      <c r="AR88" s="174">
        <v>0</v>
      </c>
      <c r="AS88" s="174">
        <v>0</v>
      </c>
      <c r="AT88" s="174">
        <v>0</v>
      </c>
      <c r="AU88" s="86">
        <f t="shared" si="20"/>
        <v>0</v>
      </c>
      <c r="AV88" s="86"/>
      <c r="AZ88" s="19"/>
      <c r="BA88" s="19"/>
      <c r="BB88" s="19"/>
      <c r="BC88" s="19"/>
      <c r="BD88" s="19"/>
    </row>
    <row r="89" spans="21:56" ht="18" customHeight="1">
      <c r="AA89" s="60" t="s">
        <v>2762</v>
      </c>
      <c r="AB89" s="86">
        <f t="shared" ref="AB89:AG89" si="21">SUM(AB76:AB77)</f>
        <v>0</v>
      </c>
      <c r="AC89" s="86">
        <f t="shared" si="21"/>
        <v>0</v>
      </c>
      <c r="AD89" s="86">
        <f t="shared" si="21"/>
        <v>0</v>
      </c>
      <c r="AE89" s="86">
        <f t="shared" si="21"/>
        <v>0</v>
      </c>
      <c r="AF89" s="86">
        <f t="shared" si="21"/>
        <v>0</v>
      </c>
      <c r="AG89" s="86">
        <f t="shared" si="21"/>
        <v>8</v>
      </c>
      <c r="AH89" s="86"/>
      <c r="AI89" s="86">
        <f>SUM(AI76:AI77)</f>
        <v>8</v>
      </c>
      <c r="AL89" s="60" t="s">
        <v>1979</v>
      </c>
      <c r="AM89" s="174">
        <v>0</v>
      </c>
      <c r="AN89" s="174">
        <v>0</v>
      </c>
      <c r="AO89" s="174">
        <v>0</v>
      </c>
      <c r="AP89" s="174">
        <v>0</v>
      </c>
      <c r="AQ89" s="174">
        <v>0</v>
      </c>
      <c r="AR89" s="174">
        <v>4</v>
      </c>
      <c r="AS89" s="174">
        <v>0</v>
      </c>
      <c r="AT89" s="174">
        <v>4</v>
      </c>
      <c r="AU89" s="86">
        <f t="shared" si="20"/>
        <v>0</v>
      </c>
      <c r="AV89" s="86"/>
      <c r="AZ89" s="19"/>
      <c r="BA89" s="19"/>
      <c r="BB89" s="19"/>
      <c r="BC89" s="19"/>
      <c r="BD89" s="19"/>
    </row>
    <row r="90" spans="21:56" ht="18" customHeight="1">
      <c r="AA90" s="60" t="s">
        <v>1977</v>
      </c>
      <c r="AB90" s="86">
        <f t="shared" ref="AB90:AG90" si="22">SUM(AB78:AB79)</f>
        <v>0</v>
      </c>
      <c r="AC90" s="86">
        <f t="shared" si="22"/>
        <v>0</v>
      </c>
      <c r="AD90" s="86">
        <f t="shared" si="22"/>
        <v>0</v>
      </c>
      <c r="AE90" s="86">
        <f t="shared" si="22"/>
        <v>0</v>
      </c>
      <c r="AF90" s="86">
        <f t="shared" si="22"/>
        <v>0</v>
      </c>
      <c r="AG90" s="86">
        <f t="shared" si="22"/>
        <v>10</v>
      </c>
      <c r="AH90" s="86"/>
      <c r="AI90" s="86">
        <f>SUM(AI78:AI79)</f>
        <v>10</v>
      </c>
      <c r="AM90" s="174">
        <v>0</v>
      </c>
      <c r="AN90" s="174">
        <v>0</v>
      </c>
      <c r="AO90" s="174">
        <v>0</v>
      </c>
      <c r="AP90" s="174">
        <v>0</v>
      </c>
      <c r="AQ90" s="174">
        <v>0</v>
      </c>
      <c r="AR90" s="174">
        <v>10</v>
      </c>
      <c r="AS90" s="174">
        <v>0</v>
      </c>
      <c r="AT90" s="174">
        <v>10</v>
      </c>
      <c r="AU90" s="86">
        <f t="shared" si="20"/>
        <v>0</v>
      </c>
      <c r="AV90" s="86"/>
      <c r="AZ90" s="19"/>
      <c r="BA90" s="19"/>
      <c r="BB90" s="19"/>
      <c r="BC90" s="19"/>
      <c r="BD90" s="19"/>
    </row>
    <row r="91" spans="21:56" ht="18" customHeight="1">
      <c r="AA91" s="60" t="s">
        <v>1978</v>
      </c>
      <c r="AB91" s="86">
        <f t="shared" ref="AB91:AG91" si="23">SUM(AB80:AB81)</f>
        <v>0</v>
      </c>
      <c r="AC91" s="86">
        <f t="shared" si="23"/>
        <v>0</v>
      </c>
      <c r="AD91" s="86">
        <f t="shared" si="23"/>
        <v>0</v>
      </c>
      <c r="AE91" s="86">
        <f t="shared" si="23"/>
        <v>0</v>
      </c>
      <c r="AF91" s="86">
        <f t="shared" si="23"/>
        <v>0</v>
      </c>
      <c r="AG91" s="86">
        <f t="shared" si="23"/>
        <v>19</v>
      </c>
      <c r="AH91" s="86"/>
      <c r="AI91" s="86">
        <f>SUM(AI80:AI81)</f>
        <v>19</v>
      </c>
      <c r="AM91" s="174">
        <v>0</v>
      </c>
      <c r="AN91" s="174">
        <v>0</v>
      </c>
      <c r="AO91" s="174">
        <v>0</v>
      </c>
      <c r="AP91" s="174">
        <v>0</v>
      </c>
      <c r="AQ91" s="174">
        <v>0</v>
      </c>
      <c r="AR91" s="174">
        <v>0</v>
      </c>
      <c r="AS91" s="174">
        <v>0</v>
      </c>
      <c r="AT91" s="174">
        <v>0</v>
      </c>
      <c r="AU91" s="86">
        <f t="shared" si="20"/>
        <v>0</v>
      </c>
      <c r="AV91" s="86"/>
      <c r="AZ91" s="19"/>
      <c r="BA91" s="19"/>
      <c r="BB91" s="19"/>
      <c r="BC91" s="19"/>
      <c r="BD91" s="19"/>
    </row>
    <row r="92" spans="21:56" ht="18" customHeight="1">
      <c r="AA92" s="60" t="s">
        <v>1979</v>
      </c>
      <c r="AB92" s="86">
        <f t="shared" ref="AB92:AG92" si="24">SUM(AB82:AB83)</f>
        <v>15</v>
      </c>
      <c r="AC92" s="86">
        <f t="shared" si="24"/>
        <v>0</v>
      </c>
      <c r="AD92" s="86">
        <f t="shared" si="24"/>
        <v>0</v>
      </c>
      <c r="AE92" s="86">
        <f t="shared" si="24"/>
        <v>0</v>
      </c>
      <c r="AF92" s="86">
        <f t="shared" si="24"/>
        <v>0</v>
      </c>
      <c r="AG92" s="86">
        <f t="shared" si="24"/>
        <v>10</v>
      </c>
      <c r="AH92" s="86"/>
      <c r="AI92" s="86">
        <f>SUM(AI82:AI83)</f>
        <v>25</v>
      </c>
      <c r="AL92" s="60" t="s">
        <v>1897</v>
      </c>
      <c r="AM92" s="174">
        <v>0</v>
      </c>
      <c r="AN92" s="174">
        <v>0</v>
      </c>
      <c r="AO92" s="174">
        <v>0</v>
      </c>
      <c r="AP92" s="174">
        <v>0</v>
      </c>
      <c r="AQ92" s="174">
        <v>0</v>
      </c>
      <c r="AR92" s="174">
        <v>0</v>
      </c>
      <c r="AS92" s="174">
        <v>0</v>
      </c>
      <c r="AT92" s="174">
        <v>0</v>
      </c>
      <c r="AU92" s="86">
        <f t="shared" si="20"/>
        <v>0</v>
      </c>
      <c r="AV92" s="86"/>
      <c r="AZ92" s="19"/>
      <c r="BA92" s="19"/>
      <c r="BB92" s="19"/>
      <c r="BC92" s="19"/>
      <c r="BD92" s="19"/>
    </row>
    <row r="93" spans="21:56" ht="18" customHeight="1">
      <c r="AA93" s="60" t="s">
        <v>1897</v>
      </c>
      <c r="AB93" s="86">
        <f t="shared" ref="AB93:AG93" si="25">SUM(AB84:AB85)</f>
        <v>50</v>
      </c>
      <c r="AC93" s="86">
        <f t="shared" si="25"/>
        <v>0</v>
      </c>
      <c r="AD93" s="86">
        <f t="shared" si="25"/>
        <v>0</v>
      </c>
      <c r="AE93" s="86">
        <f t="shared" si="25"/>
        <v>0</v>
      </c>
      <c r="AF93" s="86">
        <f t="shared" si="25"/>
        <v>0</v>
      </c>
      <c r="AG93" s="86">
        <f t="shared" si="25"/>
        <v>20</v>
      </c>
      <c r="AH93" s="86"/>
      <c r="AI93" s="86">
        <f>SUM(AI84:AI85)</f>
        <v>70</v>
      </c>
      <c r="AM93" s="174">
        <v>15</v>
      </c>
      <c r="AN93" s="174">
        <v>0</v>
      </c>
      <c r="AO93" s="174">
        <v>0</v>
      </c>
      <c r="AP93" s="174">
        <v>0</v>
      </c>
      <c r="AQ93" s="174">
        <v>0</v>
      </c>
      <c r="AR93" s="174">
        <v>25</v>
      </c>
      <c r="AS93" s="174">
        <v>0</v>
      </c>
      <c r="AT93" s="174">
        <v>40</v>
      </c>
      <c r="AU93" s="86">
        <f t="shared" si="20"/>
        <v>0</v>
      </c>
      <c r="AV93" s="86"/>
      <c r="AZ93" s="19"/>
      <c r="BA93" s="19"/>
      <c r="BB93" s="19"/>
      <c r="BC93" s="19"/>
      <c r="BD93" s="19"/>
    </row>
    <row r="94" spans="21:56" ht="18" customHeight="1">
      <c r="AA94" s="163" t="s">
        <v>2841</v>
      </c>
      <c r="AB94" s="128">
        <f t="shared" ref="AB94:AG94" si="26">SUM(AB89:AB93)</f>
        <v>65</v>
      </c>
      <c r="AC94" s="128">
        <f t="shared" si="26"/>
        <v>0</v>
      </c>
      <c r="AD94" s="128">
        <f t="shared" si="26"/>
        <v>0</v>
      </c>
      <c r="AE94" s="128">
        <f t="shared" si="26"/>
        <v>0</v>
      </c>
      <c r="AF94" s="128">
        <f t="shared" si="26"/>
        <v>0</v>
      </c>
      <c r="AG94" s="128">
        <f t="shared" si="26"/>
        <v>67</v>
      </c>
      <c r="AH94" s="128"/>
      <c r="AI94" s="128">
        <f>SUM(AI89:AI93)</f>
        <v>132</v>
      </c>
      <c r="AJ94" s="86">
        <f>(SUM(AB94:AG94))-AI94</f>
        <v>0</v>
      </c>
      <c r="AM94" s="174">
        <v>0</v>
      </c>
      <c r="AN94" s="174">
        <v>0</v>
      </c>
      <c r="AO94" s="174">
        <v>0</v>
      </c>
      <c r="AP94" s="174">
        <v>0</v>
      </c>
      <c r="AQ94" s="174">
        <v>0</v>
      </c>
      <c r="AR94" s="174">
        <v>0</v>
      </c>
      <c r="AS94" s="174">
        <v>0</v>
      </c>
      <c r="AT94" s="174">
        <v>0</v>
      </c>
      <c r="AU94" s="86">
        <f t="shared" si="20"/>
        <v>0</v>
      </c>
      <c r="AZ94" s="19"/>
      <c r="BA94" s="19"/>
      <c r="BB94" s="19"/>
      <c r="BC94" s="19"/>
      <c r="BD94" s="19"/>
    </row>
    <row r="95" spans="21:56" ht="18" customHeight="1">
      <c r="AA95" s="171"/>
      <c r="AM95" s="7"/>
      <c r="AN95" s="7"/>
      <c r="AO95" s="7"/>
      <c r="AP95" s="7"/>
      <c r="AQ95" s="7"/>
      <c r="AR95" s="7"/>
      <c r="AS95" s="7"/>
      <c r="AT95" s="7"/>
      <c r="AU95" s="86"/>
      <c r="AZ95" s="19"/>
      <c r="BA95" s="19"/>
      <c r="BB95" s="19"/>
      <c r="BC95" s="19"/>
      <c r="BD95" s="19"/>
    </row>
    <row r="96" spans="21:56" ht="18" customHeight="1">
      <c r="AA96" s="169"/>
      <c r="AL96" s="176" t="s">
        <v>2787</v>
      </c>
      <c r="AM96" s="7"/>
      <c r="AN96" s="7"/>
      <c r="AO96" s="7"/>
      <c r="AP96" s="7"/>
      <c r="AQ96" s="7"/>
      <c r="AR96" s="7"/>
      <c r="AS96" s="7"/>
      <c r="AT96" s="174">
        <v>160</v>
      </c>
      <c r="AU96" s="86">
        <f>SUM(AU80:AU94)</f>
        <v>0</v>
      </c>
      <c r="AZ96" s="19"/>
      <c r="BA96" s="19"/>
      <c r="BB96" s="19"/>
      <c r="BC96" s="19"/>
      <c r="BD96" s="19"/>
    </row>
    <row r="97" spans="2:56" ht="18" customHeight="1">
      <c r="B97" s="280" t="s">
        <v>2764</v>
      </c>
      <c r="AS97" s="10" t="s">
        <v>2848</v>
      </c>
      <c r="AZ97" s="19"/>
      <c r="BA97" s="19"/>
      <c r="BB97" s="19"/>
      <c r="BC97" s="19"/>
      <c r="BD97" s="19"/>
    </row>
    <row r="98" spans="2:56" ht="18" customHeight="1">
      <c r="C98" s="280"/>
      <c r="D98" s="280"/>
      <c r="E98" s="280"/>
      <c r="F98" s="280"/>
      <c r="G98" s="280"/>
      <c r="H98" s="280"/>
      <c r="I98" s="280"/>
      <c r="AA98" s="7"/>
      <c r="AB98" s="7"/>
      <c r="AC98" s="7"/>
      <c r="AD98" s="7"/>
      <c r="AE98" s="7"/>
      <c r="AF98" s="7"/>
      <c r="AG98" s="7"/>
      <c r="AH98" s="7"/>
      <c r="AI98" s="7"/>
      <c r="AJ98" s="7"/>
      <c r="AL98" s="60" t="s">
        <v>2762</v>
      </c>
      <c r="AM98" s="86">
        <f t="shared" ref="AM98:AR98" si="27">SUM(AM80:AM82)</f>
        <v>0</v>
      </c>
      <c r="AN98" s="86">
        <f t="shared" si="27"/>
        <v>0</v>
      </c>
      <c r="AO98" s="86">
        <f t="shared" si="27"/>
        <v>0</v>
      </c>
      <c r="AP98" s="86">
        <f t="shared" si="27"/>
        <v>0</v>
      </c>
      <c r="AQ98" s="86">
        <f t="shared" si="27"/>
        <v>0</v>
      </c>
      <c r="AR98" s="86">
        <f t="shared" si="27"/>
        <v>30</v>
      </c>
      <c r="AS98" s="86">
        <f>AT98-SUM(AM98:AR98)</f>
        <v>0</v>
      </c>
      <c r="AT98" s="86">
        <f>SUM(AT80:AT82)</f>
        <v>30</v>
      </c>
      <c r="AZ98" s="19"/>
      <c r="BA98" s="19"/>
      <c r="BB98" s="19"/>
      <c r="BC98" s="19"/>
      <c r="BD98" s="19"/>
    </row>
    <row r="99" spans="2:56" ht="18" customHeight="1">
      <c r="B99" s="280"/>
      <c r="C99" s="280"/>
      <c r="D99" s="280"/>
      <c r="E99" s="280"/>
      <c r="F99" s="280"/>
      <c r="G99" s="280"/>
      <c r="H99" s="280"/>
      <c r="I99" s="280"/>
      <c r="AA99" s="162" t="s">
        <v>2667</v>
      </c>
      <c r="AB99" s="162"/>
      <c r="AC99" s="162"/>
      <c r="AD99" s="162"/>
      <c r="AE99" s="162"/>
      <c r="AF99" s="162"/>
      <c r="AG99" s="162"/>
      <c r="AH99" s="162"/>
      <c r="AI99" s="162"/>
      <c r="AJ99" s="162"/>
      <c r="AL99" s="60" t="s">
        <v>1977</v>
      </c>
      <c r="AM99" s="86">
        <f t="shared" ref="AM99:AR99" si="28">SUM(AM83:AM85)</f>
        <v>4</v>
      </c>
      <c r="AN99" s="86">
        <f t="shared" si="28"/>
        <v>0</v>
      </c>
      <c r="AO99" s="86">
        <f t="shared" si="28"/>
        <v>0</v>
      </c>
      <c r="AP99" s="86">
        <f t="shared" si="28"/>
        <v>0</v>
      </c>
      <c r="AQ99" s="86">
        <f t="shared" si="28"/>
        <v>0</v>
      </c>
      <c r="AR99" s="86">
        <f t="shared" si="28"/>
        <v>15</v>
      </c>
      <c r="AS99" s="86">
        <f t="shared" ref="AS99:AS102" si="29">AT99-SUM(AM99:AR99)</f>
        <v>0</v>
      </c>
      <c r="AT99" s="86">
        <f>SUM(AT83:AT85)</f>
        <v>19</v>
      </c>
      <c r="AZ99" s="19"/>
      <c r="BA99" s="19"/>
      <c r="BB99" s="19"/>
      <c r="BC99" s="19"/>
      <c r="BD99" s="19"/>
    </row>
    <row r="100" spans="2:56" ht="18" customHeight="1">
      <c r="B100" s="360" t="str">
        <f>"Chart 14a. "&amp;City_label&amp;" distribution of households by income and race or ethnicity, 2019"</f>
        <v>Chart 14a. Entiat distribution of households by income and race or ethnicity, 2019</v>
      </c>
      <c r="C100" s="360"/>
      <c r="D100" s="360"/>
      <c r="E100" s="360"/>
      <c r="F100" s="360"/>
      <c r="G100" s="360"/>
      <c r="H100" s="360"/>
      <c r="I100" s="360"/>
      <c r="J100" s="360"/>
      <c r="AA100" s="7"/>
      <c r="AB100" s="7" t="s">
        <v>2720</v>
      </c>
      <c r="AC100" s="7" t="s">
        <v>2666</v>
      </c>
      <c r="AD100" s="7" t="s">
        <v>2673</v>
      </c>
      <c r="AE100" s="7" t="s">
        <v>2790</v>
      </c>
      <c r="AF100" s="7" t="s">
        <v>2721</v>
      </c>
      <c r="AG100" s="7" t="s">
        <v>2672</v>
      </c>
      <c r="AH100" s="114" t="s">
        <v>2845</v>
      </c>
      <c r="AI100" s="7"/>
      <c r="AJ100" s="7"/>
      <c r="AL100" s="60" t="s">
        <v>1978</v>
      </c>
      <c r="AM100" s="86">
        <f t="shared" ref="AM100:AR100" si="30">SUM(AM86:AM88)</f>
        <v>15</v>
      </c>
      <c r="AN100" s="86">
        <f t="shared" si="30"/>
        <v>0</v>
      </c>
      <c r="AO100" s="86">
        <f t="shared" si="30"/>
        <v>0</v>
      </c>
      <c r="AP100" s="86">
        <f t="shared" si="30"/>
        <v>0</v>
      </c>
      <c r="AQ100" s="86">
        <f t="shared" si="30"/>
        <v>0</v>
      </c>
      <c r="AR100" s="86">
        <f t="shared" si="30"/>
        <v>50</v>
      </c>
      <c r="AS100" s="86">
        <f t="shared" si="29"/>
        <v>0</v>
      </c>
      <c r="AT100" s="86">
        <f>SUM(AT86:AT88)</f>
        <v>65</v>
      </c>
      <c r="AZ100" s="19"/>
      <c r="BA100" s="19"/>
      <c r="BB100" s="19"/>
      <c r="BC100" s="19"/>
      <c r="BD100" s="19"/>
    </row>
    <row r="101" spans="2:56" ht="18" customHeight="1">
      <c r="B101" s="360"/>
      <c r="C101" s="360"/>
      <c r="D101" s="360"/>
      <c r="E101" s="360"/>
      <c r="F101" s="360"/>
      <c r="G101" s="360"/>
      <c r="H101" s="360"/>
      <c r="I101" s="360"/>
      <c r="J101" s="360"/>
      <c r="AA101" s="60" t="s">
        <v>2762</v>
      </c>
      <c r="AB101" s="147">
        <f>SUM(AF51,AF89)</f>
        <v>0</v>
      </c>
      <c r="AC101" s="147">
        <f>SUM(AD51,AD89)</f>
        <v>0</v>
      </c>
      <c r="AD101" s="147">
        <f>SUM(AC51,AC89)</f>
        <v>0</v>
      </c>
      <c r="AE101" s="147">
        <f>SUM(AB51,AB89)</f>
        <v>4</v>
      </c>
      <c r="AF101" s="147">
        <f>SUM(AE51,AE89)</f>
        <v>0</v>
      </c>
      <c r="AG101" s="147">
        <f>SUM(AG51,AG89)</f>
        <v>43</v>
      </c>
      <c r="AH101" s="244">
        <f t="shared" ref="AH101:AH105" si="31">AI101-SUM(AB101:AG101)</f>
        <v>6</v>
      </c>
      <c r="AI101" s="147">
        <f t="shared" ref="AI101:AI106" si="32">SUM(AI51,AI89)</f>
        <v>53</v>
      </c>
      <c r="AJ101" s="86"/>
      <c r="AL101" s="60" t="s">
        <v>1979</v>
      </c>
      <c r="AM101" s="86">
        <f t="shared" ref="AM101:AR101" si="33">SUM(AM89:AM91)</f>
        <v>0</v>
      </c>
      <c r="AN101" s="86">
        <f t="shared" si="33"/>
        <v>0</v>
      </c>
      <c r="AO101" s="86">
        <f t="shared" si="33"/>
        <v>0</v>
      </c>
      <c r="AP101" s="86">
        <f t="shared" si="33"/>
        <v>0</v>
      </c>
      <c r="AQ101" s="86">
        <f t="shared" si="33"/>
        <v>0</v>
      </c>
      <c r="AR101" s="86">
        <f t="shared" si="33"/>
        <v>14</v>
      </c>
      <c r="AS101" s="86">
        <f t="shared" si="29"/>
        <v>0</v>
      </c>
      <c r="AT101" s="86">
        <f>SUM(AT89:AT91)</f>
        <v>14</v>
      </c>
      <c r="AZ101" s="19"/>
      <c r="BA101" s="19"/>
      <c r="BB101" s="19"/>
      <c r="BC101" s="19"/>
      <c r="BD101" s="19"/>
    </row>
    <row r="102" spans="2:56" ht="18" customHeight="1">
      <c r="AA102" s="60" t="s">
        <v>1977</v>
      </c>
      <c r="AB102" s="147">
        <f t="shared" ref="AB102:AB105" si="34">SUM(AF52,AF90)</f>
        <v>0</v>
      </c>
      <c r="AC102" s="147">
        <f t="shared" ref="AC102:AC105" si="35">SUM(AD52,AD90)</f>
        <v>0</v>
      </c>
      <c r="AD102" s="147">
        <f t="shared" ref="AD102:AD105" si="36">SUM(AC52,AC90)</f>
        <v>0</v>
      </c>
      <c r="AE102" s="147">
        <f t="shared" ref="AE102:AE105" si="37">SUM(AB52,AB90)</f>
        <v>0</v>
      </c>
      <c r="AF102" s="147">
        <f t="shared" ref="AF102:AF105" si="38">SUM(AE52,AE90)</f>
        <v>0</v>
      </c>
      <c r="AG102" s="147">
        <f t="shared" ref="AG102:AG105" si="39">SUM(AG52,AG90)</f>
        <v>45</v>
      </c>
      <c r="AH102" s="244">
        <f t="shared" si="31"/>
        <v>0</v>
      </c>
      <c r="AI102" s="147">
        <f t="shared" si="32"/>
        <v>45</v>
      </c>
      <c r="AJ102" s="86"/>
      <c r="AL102" s="60" t="s">
        <v>1897</v>
      </c>
      <c r="AM102" s="86">
        <f t="shared" ref="AM102:AR102" si="40">SUM(AM92:AM94)</f>
        <v>15</v>
      </c>
      <c r="AN102" s="86">
        <f t="shared" si="40"/>
        <v>0</v>
      </c>
      <c r="AO102" s="86">
        <f t="shared" si="40"/>
        <v>0</v>
      </c>
      <c r="AP102" s="86">
        <f t="shared" si="40"/>
        <v>0</v>
      </c>
      <c r="AQ102" s="86">
        <f t="shared" si="40"/>
        <v>0</v>
      </c>
      <c r="AR102" s="86">
        <f t="shared" si="40"/>
        <v>25</v>
      </c>
      <c r="AS102" s="86">
        <f t="shared" si="29"/>
        <v>0</v>
      </c>
      <c r="AT102" s="86">
        <f>SUM(AT92:AT94)</f>
        <v>40</v>
      </c>
      <c r="AZ102" s="19"/>
      <c r="BA102" s="19"/>
      <c r="BB102" s="19"/>
      <c r="BC102" s="19"/>
      <c r="BD102" s="19"/>
    </row>
    <row r="103" spans="2:56" ht="18" customHeight="1">
      <c r="AA103" s="60" t="s">
        <v>1978</v>
      </c>
      <c r="AB103" s="147">
        <f t="shared" si="34"/>
        <v>0</v>
      </c>
      <c r="AC103" s="147">
        <f t="shared" si="35"/>
        <v>0</v>
      </c>
      <c r="AD103" s="147">
        <f t="shared" si="36"/>
        <v>0</v>
      </c>
      <c r="AE103" s="147">
        <f t="shared" si="37"/>
        <v>14</v>
      </c>
      <c r="AF103" s="147">
        <f t="shared" si="38"/>
        <v>0</v>
      </c>
      <c r="AG103" s="147">
        <f t="shared" si="39"/>
        <v>33</v>
      </c>
      <c r="AH103" s="244">
        <f t="shared" si="31"/>
        <v>7</v>
      </c>
      <c r="AI103" s="147">
        <f t="shared" si="32"/>
        <v>54</v>
      </c>
      <c r="AJ103" s="86"/>
      <c r="AL103" s="163" t="s">
        <v>2841</v>
      </c>
      <c r="AM103" s="128">
        <f t="shared" ref="AM103:AT103" si="41">SUM(AM98:AM102)</f>
        <v>34</v>
      </c>
      <c r="AN103" s="128">
        <f t="shared" si="41"/>
        <v>0</v>
      </c>
      <c r="AO103" s="128">
        <f t="shared" si="41"/>
        <v>0</v>
      </c>
      <c r="AP103" s="128">
        <f t="shared" si="41"/>
        <v>0</v>
      </c>
      <c r="AQ103" s="128">
        <f t="shared" si="41"/>
        <v>0</v>
      </c>
      <c r="AR103" s="128">
        <f t="shared" si="41"/>
        <v>134</v>
      </c>
      <c r="AS103" s="128">
        <f t="shared" si="41"/>
        <v>0</v>
      </c>
      <c r="AT103" s="128">
        <f t="shared" si="41"/>
        <v>168</v>
      </c>
      <c r="AU103" s="86">
        <f>(SUM(AM103:AS103))-AT103</f>
        <v>0</v>
      </c>
      <c r="AZ103" s="19"/>
      <c r="BA103" s="19"/>
      <c r="BB103" s="19"/>
      <c r="BC103" s="19"/>
      <c r="BD103" s="19"/>
    </row>
    <row r="104" spans="2:56" ht="18" customHeight="1">
      <c r="Z104" s="90"/>
      <c r="AA104" s="60" t="s">
        <v>1979</v>
      </c>
      <c r="AB104" s="147">
        <f t="shared" si="34"/>
        <v>4</v>
      </c>
      <c r="AC104" s="147">
        <f t="shared" si="35"/>
        <v>0</v>
      </c>
      <c r="AD104" s="147">
        <f t="shared" si="36"/>
        <v>0</v>
      </c>
      <c r="AE104" s="147">
        <f t="shared" si="37"/>
        <v>19</v>
      </c>
      <c r="AF104" s="147">
        <f t="shared" si="38"/>
        <v>0</v>
      </c>
      <c r="AG104" s="147">
        <f t="shared" si="39"/>
        <v>39</v>
      </c>
      <c r="AH104" s="244">
        <f t="shared" si="31"/>
        <v>-2</v>
      </c>
      <c r="AI104" s="147">
        <f t="shared" si="32"/>
        <v>60</v>
      </c>
      <c r="AJ104" s="86"/>
      <c r="AL104" s="169"/>
      <c r="AZ104" s="19"/>
      <c r="BA104" s="19"/>
      <c r="BB104" s="19"/>
      <c r="BC104" s="19"/>
    </row>
    <row r="105" spans="2:56" ht="18" customHeight="1">
      <c r="Z105" s="90"/>
      <c r="AA105" s="60" t="s">
        <v>1897</v>
      </c>
      <c r="AB105" s="147">
        <f t="shared" si="34"/>
        <v>0</v>
      </c>
      <c r="AC105" s="147">
        <f t="shared" si="35"/>
        <v>0</v>
      </c>
      <c r="AD105" s="147">
        <f t="shared" si="36"/>
        <v>0</v>
      </c>
      <c r="AE105" s="147">
        <f t="shared" si="37"/>
        <v>64</v>
      </c>
      <c r="AF105" s="147">
        <f t="shared" si="38"/>
        <v>0</v>
      </c>
      <c r="AG105" s="147">
        <f t="shared" si="39"/>
        <v>129</v>
      </c>
      <c r="AH105" s="244">
        <f t="shared" si="31"/>
        <v>11</v>
      </c>
      <c r="AI105" s="147">
        <f t="shared" si="32"/>
        <v>204</v>
      </c>
      <c r="AJ105" s="86"/>
      <c r="AZ105" s="19"/>
      <c r="BA105" s="19"/>
      <c r="BB105" s="19"/>
      <c r="BC105" s="19"/>
    </row>
    <row r="106" spans="2:56" ht="18" customHeight="1">
      <c r="Z106" s="90"/>
      <c r="AA106" s="127" t="s">
        <v>3</v>
      </c>
      <c r="AB106" s="177">
        <f>SUM(AF56,AF94)</f>
        <v>4</v>
      </c>
      <c r="AC106" s="177">
        <f>SUM(AD56,AD94)</f>
        <v>0</v>
      </c>
      <c r="AD106" s="177">
        <f>SUM(AC56,AC94)</f>
        <v>0</v>
      </c>
      <c r="AE106" s="177">
        <f>SUM(AB56,AB94)</f>
        <v>101</v>
      </c>
      <c r="AF106" s="177">
        <f>SUM(AE56,AE94)</f>
        <v>0</v>
      </c>
      <c r="AG106" s="177">
        <f>SUM(AG56,AG94)</f>
        <v>289</v>
      </c>
      <c r="AH106" s="114">
        <f>SUM(AH101:AH105)</f>
        <v>22</v>
      </c>
      <c r="AI106" s="177">
        <f t="shared" si="32"/>
        <v>416</v>
      </c>
      <c r="AJ106" s="86"/>
      <c r="AL106" s="7"/>
      <c r="AM106" s="7"/>
      <c r="AN106" s="7"/>
      <c r="AO106" s="7"/>
      <c r="AP106" s="7"/>
      <c r="AQ106" s="7"/>
      <c r="AR106" s="7"/>
      <c r="AS106" s="7"/>
      <c r="AT106" s="7"/>
      <c r="AU106" s="7"/>
      <c r="AV106" s="7"/>
    </row>
    <row r="107" spans="2:56" ht="18" customHeight="1">
      <c r="Z107" s="90"/>
      <c r="AA107" s="175" t="s">
        <v>2789</v>
      </c>
      <c r="AI107" s="174">
        <v>410</v>
      </c>
      <c r="AL107" s="162" t="s">
        <v>2667</v>
      </c>
      <c r="AM107" s="162"/>
      <c r="AN107" s="162"/>
      <c r="AO107" s="162"/>
      <c r="AP107" s="162"/>
      <c r="AQ107" s="162"/>
      <c r="AR107" s="162"/>
      <c r="AS107" s="162"/>
      <c r="AT107" s="162"/>
      <c r="AU107" s="162"/>
    </row>
    <row r="108" spans="2:56" ht="18" customHeight="1">
      <c r="Z108" s="90"/>
      <c r="AI108" s="88"/>
      <c r="AL108" s="7"/>
      <c r="AM108" s="11" t="s">
        <v>2666</v>
      </c>
      <c r="AN108" s="11" t="s">
        <v>2673</v>
      </c>
      <c r="AO108" s="11" t="s">
        <v>2790</v>
      </c>
      <c r="AP108" s="11" t="s">
        <v>2721</v>
      </c>
      <c r="AQ108" s="11" t="s">
        <v>2720</v>
      </c>
      <c r="AR108" s="11" t="s">
        <v>2672</v>
      </c>
      <c r="AS108" s="225" t="s">
        <v>2848</v>
      </c>
      <c r="AT108" s="11" t="s">
        <v>1</v>
      </c>
    </row>
    <row r="109" spans="2:56" ht="20.25" customHeight="1">
      <c r="Z109" s="90"/>
      <c r="AA109" s="7"/>
      <c r="AB109" s="11" t="s">
        <v>2666</v>
      </c>
      <c r="AC109" s="11" t="s">
        <v>2673</v>
      </c>
      <c r="AD109" s="11" t="s">
        <v>2790</v>
      </c>
      <c r="AE109" s="7" t="s">
        <v>2721</v>
      </c>
      <c r="AF109" s="11" t="s">
        <v>2672</v>
      </c>
      <c r="AG109" s="144" t="s">
        <v>2</v>
      </c>
      <c r="AH109" s="144"/>
      <c r="AL109" s="146" t="s">
        <v>1983</v>
      </c>
      <c r="AM109" s="147">
        <f t="shared" ref="AM109:AM114" si="42">SUM(AO51,AO98)</f>
        <v>0</v>
      </c>
      <c r="AN109" s="147">
        <f t="shared" ref="AN109:AN114" si="43">SUM(AN51,AN98)</f>
        <v>0</v>
      </c>
      <c r="AO109" s="147">
        <f t="shared" ref="AO109:AO114" si="44">SUM(AM51,AM98)</f>
        <v>0</v>
      </c>
      <c r="AP109" s="147">
        <f t="shared" ref="AP109:AT114" si="45">SUM(AP51,AP98)</f>
        <v>0</v>
      </c>
      <c r="AQ109" s="147">
        <f t="shared" si="45"/>
        <v>0</v>
      </c>
      <c r="AR109" s="147">
        <f t="shared" si="45"/>
        <v>59</v>
      </c>
      <c r="AS109" s="245">
        <f t="shared" si="45"/>
        <v>0</v>
      </c>
      <c r="AT109" s="147">
        <f t="shared" si="45"/>
        <v>59</v>
      </c>
    </row>
    <row r="110" spans="2:56" ht="18" customHeight="1">
      <c r="AA110" s="60" t="s">
        <v>2762</v>
      </c>
      <c r="AB110" s="135">
        <f>IFERROR(AC101/AC$106,"0"%)</f>
        <v>0</v>
      </c>
      <c r="AC110" s="135">
        <f>IFERROR(AD101/AD$106,"0"%)</f>
        <v>0</v>
      </c>
      <c r="AD110" s="135">
        <f>IFERROR(AE101/AE$106, "0"%)</f>
        <v>3.9603960396039604E-2</v>
      </c>
      <c r="AE110" s="135">
        <f>IFERROR(AF101/AF$106, "0"%)</f>
        <v>0</v>
      </c>
      <c r="AF110" s="135">
        <f>IFERROR(AG101/AG$106, "0"%)</f>
        <v>0.14878892733564014</v>
      </c>
      <c r="AG110" s="135">
        <f>IFERROR(AI101/AI$106,"0"%)</f>
        <v>0.12740384615384615</v>
      </c>
      <c r="AH110" s="135"/>
      <c r="AL110" s="60" t="s">
        <v>1977</v>
      </c>
      <c r="AM110" s="147">
        <f t="shared" si="42"/>
        <v>0</v>
      </c>
      <c r="AN110" s="147">
        <f t="shared" si="43"/>
        <v>0</v>
      </c>
      <c r="AO110" s="147">
        <f t="shared" si="44"/>
        <v>19</v>
      </c>
      <c r="AP110" s="147">
        <f t="shared" si="45"/>
        <v>0</v>
      </c>
      <c r="AQ110" s="147">
        <f t="shared" si="45"/>
        <v>0</v>
      </c>
      <c r="AR110" s="147">
        <f t="shared" si="45"/>
        <v>45</v>
      </c>
      <c r="AS110" s="245">
        <f t="shared" si="45"/>
        <v>0</v>
      </c>
      <c r="AT110" s="147">
        <f t="shared" si="45"/>
        <v>64</v>
      </c>
    </row>
    <row r="111" spans="2:56" ht="18" customHeight="1">
      <c r="AA111" s="60" t="s">
        <v>1977</v>
      </c>
      <c r="AB111" s="135">
        <f t="shared" ref="AB111:AC114" si="46">IFERROR(AC102/AC$106,"0"%)</f>
        <v>0</v>
      </c>
      <c r="AC111" s="135">
        <f t="shared" si="46"/>
        <v>0</v>
      </c>
      <c r="AD111" s="135">
        <f t="shared" ref="AD111:AF114" si="47">IFERROR(AE102/AE$106, "0"%)</f>
        <v>0</v>
      </c>
      <c r="AE111" s="135">
        <f t="shared" si="47"/>
        <v>0</v>
      </c>
      <c r="AF111" s="135">
        <f t="shared" si="47"/>
        <v>0.15570934256055363</v>
      </c>
      <c r="AG111" s="135">
        <f t="shared" ref="AG111:AG114" si="48">IFERROR(AI102/AI$106,"0"%)</f>
        <v>0.10817307692307693</v>
      </c>
      <c r="AH111" s="135"/>
      <c r="AL111" s="60" t="s">
        <v>1978</v>
      </c>
      <c r="AM111" s="147">
        <f t="shared" si="42"/>
        <v>0</v>
      </c>
      <c r="AN111" s="147">
        <f t="shared" si="43"/>
        <v>0</v>
      </c>
      <c r="AO111" s="147">
        <f t="shared" si="44"/>
        <v>19</v>
      </c>
      <c r="AP111" s="147">
        <f t="shared" si="45"/>
        <v>0</v>
      </c>
      <c r="AQ111" s="147">
        <f t="shared" si="45"/>
        <v>0</v>
      </c>
      <c r="AR111" s="147">
        <f t="shared" si="45"/>
        <v>90</v>
      </c>
      <c r="AS111" s="245">
        <f t="shared" si="45"/>
        <v>4</v>
      </c>
      <c r="AT111" s="147">
        <f t="shared" si="45"/>
        <v>110</v>
      </c>
    </row>
    <row r="112" spans="2:56" ht="18" customHeight="1">
      <c r="AA112" s="60" t="s">
        <v>1978</v>
      </c>
      <c r="AB112" s="135">
        <f t="shared" si="46"/>
        <v>0</v>
      </c>
      <c r="AC112" s="135">
        <f t="shared" si="46"/>
        <v>0</v>
      </c>
      <c r="AD112" s="135">
        <f t="shared" si="47"/>
        <v>0.13861386138613863</v>
      </c>
      <c r="AE112" s="135">
        <f t="shared" si="47"/>
        <v>0</v>
      </c>
      <c r="AF112" s="135">
        <f t="shared" si="47"/>
        <v>0.11418685121107267</v>
      </c>
      <c r="AG112" s="135">
        <f t="shared" si="48"/>
        <v>0.12980769230769232</v>
      </c>
      <c r="AH112" s="135"/>
      <c r="AL112" s="60" t="s">
        <v>1979</v>
      </c>
      <c r="AM112" s="147">
        <f t="shared" si="42"/>
        <v>0</v>
      </c>
      <c r="AN112" s="147">
        <f t="shared" si="43"/>
        <v>0</v>
      </c>
      <c r="AO112" s="147">
        <f t="shared" si="44"/>
        <v>0</v>
      </c>
      <c r="AP112" s="147">
        <f t="shared" si="45"/>
        <v>0</v>
      </c>
      <c r="AQ112" s="147">
        <f t="shared" si="45"/>
        <v>0</v>
      </c>
      <c r="AR112" s="147">
        <f t="shared" si="45"/>
        <v>39</v>
      </c>
      <c r="AS112" s="245">
        <f t="shared" si="45"/>
        <v>0</v>
      </c>
      <c r="AT112" s="147">
        <f t="shared" si="45"/>
        <v>39</v>
      </c>
    </row>
    <row r="113" spans="2:48" ht="18" customHeight="1">
      <c r="AA113" s="60" t="s">
        <v>1979</v>
      </c>
      <c r="AB113" s="135">
        <f t="shared" si="46"/>
        <v>0</v>
      </c>
      <c r="AC113" s="135">
        <f t="shared" si="46"/>
        <v>0</v>
      </c>
      <c r="AD113" s="135">
        <f t="shared" si="47"/>
        <v>0.18811881188118812</v>
      </c>
      <c r="AE113" s="135">
        <f t="shared" si="47"/>
        <v>0</v>
      </c>
      <c r="AF113" s="135">
        <f t="shared" si="47"/>
        <v>0.13494809688581316</v>
      </c>
      <c r="AG113" s="135">
        <f t="shared" si="48"/>
        <v>0.14423076923076922</v>
      </c>
      <c r="AH113" s="135"/>
      <c r="AL113" s="60" t="s">
        <v>1897</v>
      </c>
      <c r="AM113" s="147">
        <f t="shared" si="42"/>
        <v>0</v>
      </c>
      <c r="AN113" s="147">
        <f t="shared" si="43"/>
        <v>0</v>
      </c>
      <c r="AO113" s="147">
        <f t="shared" si="44"/>
        <v>35</v>
      </c>
      <c r="AP113" s="147">
        <f t="shared" si="45"/>
        <v>4</v>
      </c>
      <c r="AQ113" s="147">
        <f t="shared" si="45"/>
        <v>10</v>
      </c>
      <c r="AR113" s="147">
        <f t="shared" si="45"/>
        <v>165</v>
      </c>
      <c r="AS113" s="245">
        <f t="shared" si="45"/>
        <v>0</v>
      </c>
      <c r="AT113" s="147">
        <f t="shared" si="45"/>
        <v>215</v>
      </c>
    </row>
    <row r="114" spans="2:48" ht="18" customHeight="1">
      <c r="AA114" s="60" t="s">
        <v>1897</v>
      </c>
      <c r="AB114" s="135">
        <f t="shared" si="46"/>
        <v>0</v>
      </c>
      <c r="AC114" s="135">
        <f t="shared" si="46"/>
        <v>0</v>
      </c>
      <c r="AD114" s="135">
        <f t="shared" si="47"/>
        <v>0.63366336633663367</v>
      </c>
      <c r="AE114" s="135">
        <f t="shared" si="47"/>
        <v>0</v>
      </c>
      <c r="AF114" s="135">
        <f t="shared" si="47"/>
        <v>0.44636678200692043</v>
      </c>
      <c r="AG114" s="135">
        <f t="shared" si="48"/>
        <v>0.49038461538461536</v>
      </c>
      <c r="AH114" s="135"/>
      <c r="AL114" s="127" t="s">
        <v>3</v>
      </c>
      <c r="AM114" s="177">
        <f t="shared" si="42"/>
        <v>0</v>
      </c>
      <c r="AN114" s="177">
        <f t="shared" si="43"/>
        <v>0</v>
      </c>
      <c r="AO114" s="177">
        <f t="shared" si="44"/>
        <v>73</v>
      </c>
      <c r="AP114" s="177">
        <f t="shared" si="45"/>
        <v>4</v>
      </c>
      <c r="AQ114" s="177">
        <f t="shared" si="45"/>
        <v>10</v>
      </c>
      <c r="AR114" s="177">
        <f t="shared" si="45"/>
        <v>398</v>
      </c>
      <c r="AS114" s="245">
        <f t="shared" si="45"/>
        <v>4</v>
      </c>
      <c r="AT114" s="177">
        <f t="shared" si="45"/>
        <v>487</v>
      </c>
    </row>
    <row r="115" spans="2:48" ht="13.9" customHeight="1">
      <c r="B115" s="333" t="s">
        <v>2764</v>
      </c>
      <c r="C115" s="333"/>
      <c r="D115" s="333"/>
      <c r="E115" s="333"/>
      <c r="F115" s="333"/>
      <c r="G115" s="333"/>
      <c r="H115" s="333"/>
      <c r="I115" s="333"/>
      <c r="AI115" s="88"/>
      <c r="AL115" s="169" t="s">
        <v>2766</v>
      </c>
      <c r="AS115" s="7"/>
      <c r="AT115" s="1">
        <v>485</v>
      </c>
    </row>
    <row r="116" spans="2:48" ht="13.9" customHeight="1">
      <c r="B116" s="333"/>
      <c r="C116" s="333"/>
      <c r="D116" s="333"/>
      <c r="E116" s="333"/>
      <c r="F116" s="333"/>
      <c r="G116" s="333"/>
      <c r="H116" s="333"/>
      <c r="I116" s="333"/>
      <c r="AI116" s="88"/>
      <c r="AS116" s="88"/>
    </row>
    <row r="117" spans="2:48" ht="13.9" customHeight="1">
      <c r="AI117" s="88"/>
      <c r="AL117" s="7"/>
      <c r="AM117" s="11" t="s">
        <v>2666</v>
      </c>
      <c r="AN117" s="11" t="s">
        <v>2673</v>
      </c>
      <c r="AO117" s="11" t="s">
        <v>2790</v>
      </c>
      <c r="AP117" s="11" t="s">
        <v>2706</v>
      </c>
      <c r="AQ117" s="11" t="s">
        <v>2672</v>
      </c>
      <c r="AR117" s="144" t="s">
        <v>2</v>
      </c>
    </row>
    <row r="118" spans="2:48" ht="13.9" customHeight="1">
      <c r="AA118" s="171" t="s">
        <v>2767</v>
      </c>
      <c r="AI118" s="88"/>
      <c r="AL118" s="60" t="s">
        <v>1983</v>
      </c>
      <c r="AM118" s="135" t="e">
        <f t="shared" ref="AM118:AO122" si="49">AM109/AM$114</f>
        <v>#DIV/0!</v>
      </c>
      <c r="AN118" s="135" t="e">
        <f t="shared" si="49"/>
        <v>#DIV/0!</v>
      </c>
      <c r="AO118" s="135">
        <f t="shared" si="49"/>
        <v>0</v>
      </c>
      <c r="AP118" s="135">
        <f>SUM(AP109:AQ109:AS109)/SUM(AP$114:AQ$114:AS$114)</f>
        <v>0.14182692307692307</v>
      </c>
      <c r="AQ118" s="135">
        <f>AR109/AR$114</f>
        <v>0.14824120603015076</v>
      </c>
      <c r="AR118" s="135">
        <f>AT109/AT$114</f>
        <v>0.12114989733059549</v>
      </c>
    </row>
    <row r="119" spans="2:48" ht="21" customHeight="1">
      <c r="B119" s="359" t="str">
        <f>"Table 7. "&amp;City_label&amp;" five year change in households by income and race, 2014 - 2019"</f>
        <v>Table 7. Entiat five year change in households by income and race, 2014 - 2019</v>
      </c>
      <c r="C119" s="359"/>
      <c r="D119" s="359"/>
      <c r="E119" s="359"/>
      <c r="F119" s="359"/>
      <c r="G119" s="359"/>
      <c r="H119" s="359"/>
      <c r="AI119" s="88"/>
      <c r="AL119" s="60" t="s">
        <v>1977</v>
      </c>
      <c r="AM119" s="135" t="e">
        <f t="shared" si="49"/>
        <v>#DIV/0!</v>
      </c>
      <c r="AN119" s="135" t="e">
        <f t="shared" si="49"/>
        <v>#DIV/0!</v>
      </c>
      <c r="AO119" s="135">
        <f t="shared" si="49"/>
        <v>0.26027397260273971</v>
      </c>
      <c r="AP119" s="135">
        <f>SUM(AP110:AQ110:AS110)/SUM(AP$114:AQ$114:AS$114)</f>
        <v>0.10817307692307693</v>
      </c>
      <c r="AQ119" s="135">
        <f>AR110/AR$114</f>
        <v>0.11306532663316583</v>
      </c>
      <c r="AR119" s="135">
        <f>AT110/AT$114</f>
        <v>0.13141683778234087</v>
      </c>
    </row>
    <row r="120" spans="2:48" ht="21" customHeight="1">
      <c r="B120" s="359"/>
      <c r="C120" s="359"/>
      <c r="D120" s="359"/>
      <c r="E120" s="359"/>
      <c r="F120" s="359"/>
      <c r="G120" s="359"/>
      <c r="H120" s="359"/>
      <c r="AB120" s="7" t="s">
        <v>2796</v>
      </c>
      <c r="AC120" s="7" t="s">
        <v>2856</v>
      </c>
      <c r="AD120" s="7" t="s">
        <v>2672</v>
      </c>
      <c r="AE120" s="7"/>
      <c r="AF120" s="7" t="s">
        <v>2796</v>
      </c>
      <c r="AG120" s="7" t="s">
        <v>2856</v>
      </c>
      <c r="AH120" s="7" t="s">
        <v>2672</v>
      </c>
      <c r="AL120" s="60" t="s">
        <v>1978</v>
      </c>
      <c r="AM120" s="135" t="e">
        <f t="shared" si="49"/>
        <v>#DIV/0!</v>
      </c>
      <c r="AN120" s="135" t="e">
        <f t="shared" si="49"/>
        <v>#DIV/0!</v>
      </c>
      <c r="AO120" s="135">
        <f t="shared" si="49"/>
        <v>0.26027397260273971</v>
      </c>
      <c r="AP120" s="135">
        <f>SUM(AP111:AQ111:AS111)/SUM(AP$114:AQ$114:AS$114)</f>
        <v>0.22596153846153846</v>
      </c>
      <c r="AQ120" s="135">
        <f>AR111/AR$114</f>
        <v>0.22613065326633167</v>
      </c>
      <c r="AR120" s="135">
        <f>AT111/AT$114</f>
        <v>0.22587268993839835</v>
      </c>
    </row>
    <row r="121" spans="2:48" ht="13.9" customHeight="1" thickBot="1">
      <c r="AA121" s="60" t="s">
        <v>1983</v>
      </c>
      <c r="AB121" s="86">
        <f>AE101</f>
        <v>4</v>
      </c>
      <c r="AC121" s="86">
        <f>SUM(AB101:AD101,AF101,AH101)</f>
        <v>6</v>
      </c>
      <c r="AD121" s="86">
        <f>AG101</f>
        <v>43</v>
      </c>
      <c r="AF121" s="135">
        <f>AB121/$AB$126</f>
        <v>3.9603960396039604E-2</v>
      </c>
      <c r="AG121" s="135">
        <f>AC121/$AC$126</f>
        <v>0.23076923076923078</v>
      </c>
      <c r="AH121" s="135">
        <f>AD121/$AD$126</f>
        <v>0.14878892733564014</v>
      </c>
      <c r="AL121" s="60" t="s">
        <v>1979</v>
      </c>
      <c r="AM121" s="135" t="e">
        <f t="shared" si="49"/>
        <v>#DIV/0!</v>
      </c>
      <c r="AN121" s="135" t="e">
        <f t="shared" si="49"/>
        <v>#DIV/0!</v>
      </c>
      <c r="AO121" s="135">
        <f t="shared" si="49"/>
        <v>0</v>
      </c>
      <c r="AP121" s="135">
        <f>SUM(AP112:AQ112:AS112)/SUM(AP$114:AQ$114:AS$114)</f>
        <v>9.375E-2</v>
      </c>
      <c r="AQ121" s="135">
        <f>AR112/AR$114</f>
        <v>9.7989949748743713E-2</v>
      </c>
      <c r="AR121" s="135">
        <f>AT112/AT$114</f>
        <v>8.0082135523613956E-2</v>
      </c>
      <c r="AV121" s="7"/>
    </row>
    <row r="122" spans="2:48" ht="19.5" customHeight="1">
      <c r="B122" s="356"/>
      <c r="C122" s="353" t="s">
        <v>2768</v>
      </c>
      <c r="D122" s="353" t="s">
        <v>2776</v>
      </c>
      <c r="E122" s="353" t="s">
        <v>2777</v>
      </c>
      <c r="F122" s="353" t="s">
        <v>2778</v>
      </c>
      <c r="G122" s="353" t="s">
        <v>2775</v>
      </c>
      <c r="H122" s="353" t="s">
        <v>2</v>
      </c>
      <c r="AA122" s="60" t="s">
        <v>1977</v>
      </c>
      <c r="AB122" s="86">
        <f>AE102</f>
        <v>0</v>
      </c>
      <c r="AC122" s="86">
        <f t="shared" ref="AC122:AC125" si="50">SUM(AB102:AD102,AF102,AH102)</f>
        <v>0</v>
      </c>
      <c r="AD122" s="86">
        <f>AG102</f>
        <v>45</v>
      </c>
      <c r="AF122" s="135">
        <f>AB122/$AB$126</f>
        <v>0</v>
      </c>
      <c r="AG122" s="135">
        <f>AC122/$AC$126</f>
        <v>0</v>
      </c>
      <c r="AH122" s="135">
        <f>AD122/$AD$126</f>
        <v>0.15570934256055363</v>
      </c>
      <c r="AL122" s="60" t="s">
        <v>1897</v>
      </c>
      <c r="AM122" s="284" t="e">
        <f t="shared" si="49"/>
        <v>#DIV/0!</v>
      </c>
      <c r="AN122" s="284" t="e">
        <f t="shared" si="49"/>
        <v>#DIV/0!</v>
      </c>
      <c r="AO122" s="284">
        <f t="shared" si="49"/>
        <v>0.47945205479452052</v>
      </c>
      <c r="AP122" s="284">
        <f>SUM(AP113:AQ113:AS113)/SUM(AP$114:AQ$114:AS$114)</f>
        <v>0.43028846153846156</v>
      </c>
      <c r="AQ122" s="284">
        <f>AR113/AR$114</f>
        <v>0.41457286432160806</v>
      </c>
      <c r="AR122" s="284">
        <f>AT113/AT$114</f>
        <v>0.44147843942505133</v>
      </c>
      <c r="AV122" s="7"/>
    </row>
    <row r="123" spans="2:48" ht="19.5" customHeight="1">
      <c r="B123" s="357"/>
      <c r="C123" s="354"/>
      <c r="D123" s="354"/>
      <c r="E123" s="354"/>
      <c r="F123" s="354"/>
      <c r="G123" s="354"/>
      <c r="H123" s="354"/>
      <c r="AA123" s="60" t="s">
        <v>1978</v>
      </c>
      <c r="AB123" s="86">
        <f>AE103</f>
        <v>14</v>
      </c>
      <c r="AC123" s="86">
        <f t="shared" si="50"/>
        <v>7</v>
      </c>
      <c r="AD123" s="86">
        <f>AG103</f>
        <v>33</v>
      </c>
      <c r="AF123" s="135">
        <f>AB123/$AB$126</f>
        <v>0.13861386138613863</v>
      </c>
      <c r="AG123" s="135">
        <f>AC123/$AC$126</f>
        <v>0.26923076923076922</v>
      </c>
      <c r="AH123" s="135">
        <f>AD123/$AD$126</f>
        <v>0.11418685121107267</v>
      </c>
      <c r="AL123" s="127" t="s">
        <v>1</v>
      </c>
      <c r="AM123" s="283" t="e">
        <f>SUM(AM118:AM122)</f>
        <v>#DIV/0!</v>
      </c>
      <c r="AN123" s="283" t="e">
        <f t="shared" ref="AN123:AR123" si="51">SUM(AN118:AN122)</f>
        <v>#DIV/0!</v>
      </c>
      <c r="AO123" s="283">
        <f>SUM(AO118:AO122)</f>
        <v>1</v>
      </c>
      <c r="AP123" s="283">
        <f t="shared" si="51"/>
        <v>1</v>
      </c>
      <c r="AQ123" s="283">
        <f t="shared" si="51"/>
        <v>1</v>
      </c>
      <c r="AR123" s="283">
        <f t="shared" si="51"/>
        <v>1</v>
      </c>
      <c r="AV123" s="7"/>
    </row>
    <row r="124" spans="2:48" ht="13.9" customHeight="1">
      <c r="B124" s="358"/>
      <c r="C124" s="355"/>
      <c r="D124" s="355"/>
      <c r="E124" s="355"/>
      <c r="F124" s="355"/>
      <c r="G124" s="355"/>
      <c r="H124" s="355"/>
      <c r="AA124" s="60" t="s">
        <v>1979</v>
      </c>
      <c r="AB124" s="86">
        <f>AE104</f>
        <v>19</v>
      </c>
      <c r="AC124" s="86">
        <f t="shared" si="50"/>
        <v>2</v>
      </c>
      <c r="AD124" s="86">
        <f>AG104</f>
        <v>39</v>
      </c>
      <c r="AF124" s="135">
        <f>AB124/$AB$126</f>
        <v>0.18811881188118812</v>
      </c>
      <c r="AG124" s="135">
        <f>AC124/$AC$126</f>
        <v>7.6923076923076927E-2</v>
      </c>
      <c r="AH124" s="135">
        <f>AD124/$AD$126</f>
        <v>0.13494809688581316</v>
      </c>
      <c r="AS124" s="88"/>
      <c r="AV124" s="7"/>
    </row>
    <row r="125" spans="2:48" ht="21" customHeight="1">
      <c r="B125" s="233" t="s">
        <v>3</v>
      </c>
      <c r="C125" s="234"/>
      <c r="D125" s="235"/>
      <c r="E125" s="235"/>
      <c r="F125" s="235"/>
      <c r="G125" s="235"/>
      <c r="H125" s="235"/>
      <c r="AA125" s="60" t="s">
        <v>1897</v>
      </c>
      <c r="AB125" s="287">
        <f>AE105</f>
        <v>64</v>
      </c>
      <c r="AC125" s="287">
        <f t="shared" si="50"/>
        <v>11</v>
      </c>
      <c r="AD125" s="287">
        <f>AG105</f>
        <v>129</v>
      </c>
      <c r="AE125" s="288"/>
      <c r="AF125" s="284">
        <f>AB125/$AB$126</f>
        <v>0.63366336633663367</v>
      </c>
      <c r="AG125" s="284">
        <f>AC125/$AC$126</f>
        <v>0.42307692307692307</v>
      </c>
      <c r="AH125" s="284">
        <f>AD125/$AD$126</f>
        <v>0.44636678200692043</v>
      </c>
      <c r="AS125" s="88"/>
      <c r="AV125" s="7"/>
    </row>
    <row r="126" spans="2:48" ht="21" customHeight="1">
      <c r="B126" s="43">
        <v>2015</v>
      </c>
      <c r="C126" s="236">
        <f>AT109</f>
        <v>59</v>
      </c>
      <c r="D126" s="237">
        <f>AT110</f>
        <v>64</v>
      </c>
      <c r="E126" s="237">
        <f>AT111</f>
        <v>110</v>
      </c>
      <c r="F126" s="237">
        <f>AT112</f>
        <v>39</v>
      </c>
      <c r="G126" s="237">
        <f>AT113</f>
        <v>215</v>
      </c>
      <c r="H126" s="237">
        <f>AT114</f>
        <v>487</v>
      </c>
      <c r="AA126" s="85" t="s">
        <v>1</v>
      </c>
      <c r="AB126" s="128">
        <f>SUM(AB121:AB125)</f>
        <v>101</v>
      </c>
      <c r="AC126" s="128">
        <f>SUM(AC121:AC125)</f>
        <v>26</v>
      </c>
      <c r="AD126" s="128">
        <f>SUM(AD121:AD125)</f>
        <v>289</v>
      </c>
      <c r="AF126" s="283">
        <f>SUM(AF121:AF125)</f>
        <v>1</v>
      </c>
      <c r="AG126" s="283">
        <f t="shared" ref="AG126:AH126" si="52">SUM(AG121:AG125)</f>
        <v>1</v>
      </c>
      <c r="AH126" s="283">
        <f t="shared" si="52"/>
        <v>1</v>
      </c>
      <c r="AI126" s="88"/>
      <c r="AL126" s="171"/>
      <c r="AS126" s="88"/>
      <c r="AV126" s="7"/>
    </row>
    <row r="127" spans="2:48" ht="21" customHeight="1">
      <c r="B127" s="43">
        <v>2020</v>
      </c>
      <c r="C127" s="236">
        <f>AI101</f>
        <v>53</v>
      </c>
      <c r="D127" s="237">
        <f>AI102</f>
        <v>45</v>
      </c>
      <c r="E127" s="237">
        <f>AI103</f>
        <v>54</v>
      </c>
      <c r="F127" s="237">
        <f>AI104</f>
        <v>60</v>
      </c>
      <c r="G127" s="237">
        <f>AI105</f>
        <v>204</v>
      </c>
      <c r="H127" s="237">
        <f>AI106</f>
        <v>416</v>
      </c>
      <c r="AI127" s="88"/>
      <c r="AS127" s="88"/>
      <c r="AV127" s="7"/>
    </row>
    <row r="128" spans="2:48" ht="18" customHeight="1">
      <c r="B128" s="233" t="str">
        <f>AM108</f>
        <v>Asian</v>
      </c>
      <c r="C128" s="238"/>
      <c r="D128" s="238"/>
      <c r="E128" s="238"/>
      <c r="F128" s="238"/>
      <c r="G128" s="238"/>
      <c r="H128" s="238"/>
      <c r="AI128" s="88"/>
      <c r="AM128" s="7"/>
      <c r="AN128" s="7"/>
      <c r="AO128" s="7"/>
      <c r="AQ128" s="7"/>
      <c r="AR128" s="7"/>
      <c r="AV128" s="7"/>
    </row>
    <row r="129" spans="2:48" ht="18" customHeight="1">
      <c r="B129" s="43">
        <v>2015</v>
      </c>
      <c r="C129" s="237">
        <f>AM109</f>
        <v>0</v>
      </c>
      <c r="D129" s="237">
        <f>AM110</f>
        <v>0</v>
      </c>
      <c r="E129" s="237">
        <f>AM111</f>
        <v>0</v>
      </c>
      <c r="F129" s="237">
        <f>AM112</f>
        <v>0</v>
      </c>
      <c r="G129" s="237">
        <f>AM113</f>
        <v>0</v>
      </c>
      <c r="H129" s="237">
        <f>AM114</f>
        <v>0</v>
      </c>
      <c r="AI129" s="88"/>
      <c r="AL129" s="60"/>
      <c r="AM129" s="86"/>
      <c r="AN129" s="86"/>
      <c r="AO129" s="86"/>
      <c r="AQ129" s="135"/>
      <c r="AR129" s="135"/>
      <c r="AS129" s="135"/>
      <c r="AV129" s="7"/>
    </row>
    <row r="130" spans="2:48" ht="18" customHeight="1">
      <c r="B130" s="43">
        <v>2020</v>
      </c>
      <c r="C130" s="237">
        <f>AC101</f>
        <v>0</v>
      </c>
      <c r="D130" s="237">
        <f>AC102</f>
        <v>0</v>
      </c>
      <c r="E130" s="237">
        <f>AC103</f>
        <v>0</v>
      </c>
      <c r="F130" s="237">
        <f>AC104</f>
        <v>0</v>
      </c>
      <c r="G130" s="237">
        <f>AC105</f>
        <v>0</v>
      </c>
      <c r="H130" s="237">
        <f>AC106</f>
        <v>0</v>
      </c>
      <c r="AI130" s="88"/>
      <c r="AL130" s="60"/>
      <c r="AM130" s="86"/>
      <c r="AN130" s="86"/>
      <c r="AO130" s="86"/>
      <c r="AQ130" s="135"/>
      <c r="AR130" s="135"/>
      <c r="AS130" s="135"/>
      <c r="AV130" s="7"/>
    </row>
    <row r="131" spans="2:48" ht="18" customHeight="1">
      <c r="B131" s="233" t="s">
        <v>2673</v>
      </c>
      <c r="C131" s="238"/>
      <c r="D131" s="238"/>
      <c r="E131" s="238"/>
      <c r="F131" s="238"/>
      <c r="G131" s="238"/>
      <c r="H131" s="238"/>
      <c r="AA131" s="7"/>
      <c r="AI131" s="88"/>
      <c r="AL131" s="60"/>
      <c r="AM131" s="86"/>
      <c r="AN131" s="86"/>
      <c r="AO131" s="86"/>
      <c r="AQ131" s="135"/>
      <c r="AR131" s="135"/>
      <c r="AS131" s="135"/>
      <c r="AV131" s="7"/>
    </row>
    <row r="132" spans="2:48" ht="18" customHeight="1">
      <c r="B132" s="43">
        <v>2015</v>
      </c>
      <c r="C132" s="237">
        <f>AN109</f>
        <v>0</v>
      </c>
      <c r="D132" s="237">
        <f>AN110</f>
        <v>0</v>
      </c>
      <c r="E132" s="237">
        <f>AN111</f>
        <v>0</v>
      </c>
      <c r="F132" s="237">
        <f>AN112</f>
        <v>0</v>
      </c>
      <c r="G132" s="237">
        <f>AN113</f>
        <v>0</v>
      </c>
      <c r="H132" s="237">
        <f>AN114</f>
        <v>0</v>
      </c>
      <c r="AI132" s="88"/>
      <c r="AL132" s="60"/>
      <c r="AM132" s="86"/>
      <c r="AN132" s="86"/>
      <c r="AO132" s="86"/>
      <c r="AQ132" s="135"/>
      <c r="AR132" s="135"/>
      <c r="AS132" s="135"/>
      <c r="AV132" s="7"/>
    </row>
    <row r="133" spans="2:48" ht="18" customHeight="1">
      <c r="B133" s="43">
        <v>2020</v>
      </c>
      <c r="C133" s="237">
        <f>AD101</f>
        <v>0</v>
      </c>
      <c r="D133" s="237">
        <f>AD102</f>
        <v>0</v>
      </c>
      <c r="E133" s="237">
        <f>AD103</f>
        <v>0</v>
      </c>
      <c r="F133" s="237">
        <f>AD104</f>
        <v>0</v>
      </c>
      <c r="G133" s="237">
        <f>AD105</f>
        <v>0</v>
      </c>
      <c r="H133" s="237">
        <f>AD106</f>
        <v>0</v>
      </c>
      <c r="AI133" s="88"/>
      <c r="AL133" s="60"/>
      <c r="AM133" s="86"/>
      <c r="AN133" s="86"/>
      <c r="AO133" s="86"/>
      <c r="AQ133" s="135"/>
      <c r="AR133" s="135"/>
      <c r="AS133" s="135"/>
      <c r="AV133" s="7"/>
    </row>
    <row r="134" spans="2:48" ht="18" customHeight="1">
      <c r="B134" s="233" t="s">
        <v>2790</v>
      </c>
      <c r="C134" s="238"/>
      <c r="D134" s="238"/>
      <c r="E134" s="238"/>
      <c r="F134" s="238"/>
      <c r="G134" s="238"/>
      <c r="H134" s="238"/>
      <c r="AA134" s="7"/>
      <c r="AB134" s="7"/>
      <c r="AC134" s="7"/>
      <c r="AD134" s="7"/>
      <c r="AE134" s="7"/>
      <c r="AF134" s="7"/>
      <c r="AG134" s="7"/>
      <c r="AH134" s="7"/>
      <c r="AI134" s="7"/>
      <c r="AJ134" s="7"/>
      <c r="AK134" s="7"/>
      <c r="AM134" s="86"/>
      <c r="AN134" s="86"/>
      <c r="AO134" s="86"/>
      <c r="AS134" s="88"/>
      <c r="AV134" s="7"/>
    </row>
    <row r="135" spans="2:48" ht="18" customHeight="1">
      <c r="B135" s="43">
        <v>2015</v>
      </c>
      <c r="C135" s="237">
        <f>AO109</f>
        <v>0</v>
      </c>
      <c r="D135" s="237">
        <f>AO110</f>
        <v>19</v>
      </c>
      <c r="E135" s="237">
        <f>AO111</f>
        <v>19</v>
      </c>
      <c r="F135" s="237">
        <f>AO112</f>
        <v>0</v>
      </c>
      <c r="G135" s="237">
        <f>AO113</f>
        <v>35</v>
      </c>
      <c r="H135" s="237">
        <f>AO114</f>
        <v>73</v>
      </c>
      <c r="AA135" s="7"/>
      <c r="AB135" s="7"/>
      <c r="AC135" s="7"/>
      <c r="AD135" s="7"/>
      <c r="AE135" s="7"/>
      <c r="AF135" s="7"/>
      <c r="AG135" s="7"/>
      <c r="AH135" s="7"/>
      <c r="AI135" s="7"/>
      <c r="AJ135" s="7"/>
      <c r="AK135" s="7"/>
      <c r="AS135" s="88"/>
      <c r="AV135" s="7"/>
    </row>
    <row r="136" spans="2:48" ht="18" customHeight="1">
      <c r="B136" s="43">
        <v>2020</v>
      </c>
      <c r="C136" s="239">
        <f>AE101</f>
        <v>4</v>
      </c>
      <c r="D136" s="239">
        <f>AE102</f>
        <v>0</v>
      </c>
      <c r="E136" s="239">
        <f>AE103</f>
        <v>14</v>
      </c>
      <c r="F136" s="239">
        <f>AE104</f>
        <v>19</v>
      </c>
      <c r="G136" s="239">
        <f>AE105</f>
        <v>64</v>
      </c>
      <c r="H136" s="239">
        <f>AE106</f>
        <v>101</v>
      </c>
      <c r="AA136" s="7"/>
      <c r="AB136" s="7"/>
      <c r="AC136" s="7"/>
      <c r="AD136" s="7"/>
      <c r="AE136" s="7"/>
      <c r="AF136" s="7"/>
      <c r="AG136" s="7"/>
      <c r="AH136" s="7"/>
      <c r="AI136" s="7"/>
      <c r="AJ136" s="7"/>
      <c r="AK136" s="7"/>
      <c r="AS136" s="88"/>
      <c r="AV136" s="7"/>
    </row>
    <row r="137" spans="2:48" ht="18" customHeight="1">
      <c r="B137" s="233" t="s">
        <v>2706</v>
      </c>
      <c r="C137" s="238"/>
      <c r="D137" s="238"/>
      <c r="E137" s="238"/>
      <c r="F137" s="238"/>
      <c r="G137" s="238"/>
      <c r="H137" s="238"/>
      <c r="AA137" s="7"/>
      <c r="AB137" s="7"/>
      <c r="AC137" s="7"/>
      <c r="AD137" s="7"/>
      <c r="AE137" s="7"/>
      <c r="AF137" s="7"/>
      <c r="AG137" s="7"/>
      <c r="AH137" s="7"/>
      <c r="AI137" s="7"/>
      <c r="AJ137" s="7"/>
      <c r="AK137" s="7"/>
      <c r="AS137" s="88"/>
      <c r="AV137" s="7"/>
    </row>
    <row r="138" spans="2:48" ht="18" customHeight="1">
      <c r="B138" s="43">
        <v>2015</v>
      </c>
      <c r="C138" s="237">
        <f>AP109+AQ109+AS109</f>
        <v>0</v>
      </c>
      <c r="D138" s="237">
        <f>AP110+AQ110+AS110</f>
        <v>0</v>
      </c>
      <c r="E138" s="237">
        <f>AP111+AQ111+AS111</f>
        <v>4</v>
      </c>
      <c r="F138" s="237">
        <f>AP112+AQ112+AS112</f>
        <v>0</v>
      </c>
      <c r="G138" s="237">
        <f>AP113+AQ113+AS113</f>
        <v>14</v>
      </c>
      <c r="H138" s="237">
        <f>AP114+AQ114+AS114</f>
        <v>18</v>
      </c>
      <c r="AA138" s="7"/>
      <c r="AB138" s="7"/>
      <c r="AC138" s="7"/>
      <c r="AD138" s="7"/>
      <c r="AE138" s="7"/>
      <c r="AF138" s="7"/>
      <c r="AG138" s="7"/>
      <c r="AH138" s="7"/>
      <c r="AI138" s="7"/>
      <c r="AJ138" s="7"/>
      <c r="AK138" s="7"/>
      <c r="AV138" s="7"/>
    </row>
    <row r="139" spans="2:48" ht="18" customHeight="1">
      <c r="B139" s="43">
        <v>2020</v>
      </c>
      <c r="C139" s="237">
        <f>SUM(AB101,AF101,AH101)</f>
        <v>6</v>
      </c>
      <c r="D139" s="237">
        <f>SUM(AB102,AF102,AH102)</f>
        <v>0</v>
      </c>
      <c r="E139" s="237">
        <f>SUM(AB103,AF103,AH103)</f>
        <v>7</v>
      </c>
      <c r="F139" s="237">
        <f>SUM(AB104,AF104,AH104)</f>
        <v>2</v>
      </c>
      <c r="G139" s="237">
        <f>SUM(AB105,AF105,AH105)</f>
        <v>11</v>
      </c>
      <c r="H139" s="237">
        <f>SUM(AB106,AF106,AH106)</f>
        <v>26</v>
      </c>
      <c r="AA139" s="7"/>
      <c r="AB139" s="7"/>
      <c r="AC139" s="7"/>
      <c r="AD139" s="7"/>
      <c r="AE139" s="7"/>
      <c r="AF139" s="7"/>
      <c r="AG139" s="7"/>
      <c r="AH139" s="7"/>
      <c r="AI139" s="7"/>
      <c r="AJ139" s="7"/>
      <c r="AK139" s="7"/>
      <c r="AV139" s="7"/>
    </row>
    <row r="140" spans="2:48" ht="18" customHeight="1">
      <c r="B140" s="233" t="str">
        <f>AQ117</f>
        <v>White</v>
      </c>
      <c r="C140" s="238"/>
      <c r="D140" s="238"/>
      <c r="E140" s="238"/>
      <c r="F140" s="238"/>
      <c r="G140" s="238"/>
      <c r="H140" s="238"/>
      <c r="AA140" s="7"/>
      <c r="AB140" s="7"/>
      <c r="AC140" s="7"/>
      <c r="AD140" s="7"/>
      <c r="AE140" s="7"/>
      <c r="AF140" s="7"/>
      <c r="AG140" s="7"/>
      <c r="AH140" s="7"/>
      <c r="AI140" s="7"/>
      <c r="AJ140" s="7"/>
      <c r="AK140" s="7"/>
      <c r="AV140" s="7"/>
    </row>
    <row r="141" spans="2:48" ht="18" customHeight="1">
      <c r="B141" s="43">
        <v>2015</v>
      </c>
      <c r="C141" s="237">
        <f>AR109</f>
        <v>59</v>
      </c>
      <c r="D141" s="237">
        <f>AR110</f>
        <v>45</v>
      </c>
      <c r="E141" s="237">
        <f>AR111</f>
        <v>90</v>
      </c>
      <c r="F141" s="237">
        <f>AR112</f>
        <v>39</v>
      </c>
      <c r="G141" s="237">
        <f>AR113</f>
        <v>165</v>
      </c>
      <c r="H141" s="237">
        <f>AR114</f>
        <v>398</v>
      </c>
      <c r="S141" s="94"/>
      <c r="T141" s="94"/>
      <c r="AA141" s="7"/>
      <c r="AB141" s="7"/>
      <c r="AC141" s="7"/>
      <c r="AD141" s="7"/>
      <c r="AE141" s="7"/>
      <c r="AF141" s="7"/>
      <c r="AG141" s="7"/>
      <c r="AH141" s="7"/>
      <c r="AI141" s="7"/>
      <c r="AJ141" s="7"/>
      <c r="AK141" s="7"/>
      <c r="AL141" s="7"/>
      <c r="AM141" s="7"/>
      <c r="AN141" s="7"/>
      <c r="AO141" s="7"/>
      <c r="AP141" s="7"/>
      <c r="AQ141" s="7"/>
      <c r="AR141" s="7"/>
      <c r="AS141" s="7"/>
      <c r="AT141" s="7"/>
      <c r="AU141" s="7"/>
      <c r="AV141" s="7"/>
    </row>
    <row r="142" spans="2:48" ht="18" customHeight="1" thickBot="1">
      <c r="B142" s="240">
        <v>2020</v>
      </c>
      <c r="C142" s="241">
        <f>AG101</f>
        <v>43</v>
      </c>
      <c r="D142" s="241">
        <f>AG102</f>
        <v>45</v>
      </c>
      <c r="E142" s="241">
        <f>AG103</f>
        <v>33</v>
      </c>
      <c r="F142" s="241">
        <f>AG104</f>
        <v>39</v>
      </c>
      <c r="G142" s="241">
        <f>AG105</f>
        <v>129</v>
      </c>
      <c r="H142" s="241">
        <f>AG106</f>
        <v>289</v>
      </c>
      <c r="T142" s="94"/>
      <c r="AA142" s="7"/>
      <c r="AB142" s="7"/>
      <c r="AC142" s="7"/>
      <c r="AD142" s="7"/>
      <c r="AE142" s="7"/>
      <c r="AF142" s="7"/>
      <c r="AG142" s="7"/>
      <c r="AH142" s="7"/>
      <c r="AI142" s="7"/>
      <c r="AJ142" s="7"/>
      <c r="AK142" s="7"/>
      <c r="AL142" s="7"/>
      <c r="AM142" s="7"/>
      <c r="AN142" s="7"/>
      <c r="AO142" s="7"/>
      <c r="AP142" s="7"/>
      <c r="AQ142" s="7"/>
      <c r="AR142" s="7"/>
      <c r="AS142" s="7"/>
      <c r="AT142" s="7"/>
      <c r="AU142" s="7"/>
      <c r="AV142" s="7"/>
    </row>
    <row r="143" spans="2:48" ht="18" customHeight="1">
      <c r="B143" s="363" t="s">
        <v>2764</v>
      </c>
      <c r="C143" s="363"/>
      <c r="D143" s="363"/>
      <c r="E143" s="363"/>
      <c r="F143" s="363"/>
      <c r="G143" s="363"/>
      <c r="H143" s="239"/>
      <c r="T143" s="94"/>
      <c r="AA143" s="7"/>
      <c r="AB143" s="7"/>
      <c r="AC143" s="7"/>
      <c r="AD143" s="7"/>
      <c r="AE143" s="7"/>
      <c r="AF143" s="7"/>
      <c r="AG143" s="7"/>
      <c r="AH143" s="7"/>
      <c r="AI143" s="7"/>
      <c r="AJ143" s="7"/>
      <c r="AK143" s="7"/>
      <c r="AL143" s="7"/>
      <c r="AM143" s="7"/>
      <c r="AN143" s="7"/>
      <c r="AO143" s="7"/>
      <c r="AP143" s="7"/>
      <c r="AQ143" s="7"/>
      <c r="AR143" s="7"/>
      <c r="AS143" s="7"/>
      <c r="AT143" s="7"/>
      <c r="AU143" s="7"/>
      <c r="AV143" s="7"/>
    </row>
    <row r="144" spans="2:48" ht="18" customHeight="1">
      <c r="B144" s="364"/>
      <c r="C144" s="364"/>
      <c r="D144" s="364"/>
      <c r="E144" s="364"/>
      <c r="F144" s="364"/>
      <c r="G144" s="364"/>
      <c r="H144" s="148"/>
      <c r="T144" s="94"/>
      <c r="AA144" s="7"/>
      <c r="AB144" s="7"/>
      <c r="AC144" s="7"/>
      <c r="AD144" s="7"/>
      <c r="AE144" s="7"/>
      <c r="AF144" s="7"/>
      <c r="AG144" s="7"/>
      <c r="AH144" s="7"/>
      <c r="AI144" s="7"/>
      <c r="AJ144" s="7"/>
      <c r="AK144" s="7"/>
      <c r="AL144" s="7"/>
      <c r="AM144" s="7"/>
      <c r="AN144" s="7"/>
      <c r="AO144" s="7"/>
      <c r="AP144" s="7"/>
      <c r="AQ144" s="7"/>
      <c r="AR144" s="7"/>
      <c r="AS144" s="7"/>
      <c r="AT144" s="7"/>
      <c r="AU144" s="7"/>
      <c r="AV144" s="7"/>
    </row>
    <row r="145" spans="2:48" ht="18" customHeight="1">
      <c r="C145" s="148"/>
      <c r="D145" s="148"/>
      <c r="E145" s="148"/>
      <c r="F145" s="148"/>
      <c r="G145" s="148"/>
      <c r="H145" s="148"/>
      <c r="T145" s="94"/>
      <c r="AA145" s="7"/>
      <c r="AB145" s="7"/>
      <c r="AC145" s="7"/>
      <c r="AD145" s="7"/>
      <c r="AE145" s="7"/>
      <c r="AF145" s="7"/>
      <c r="AG145" s="7"/>
      <c r="AH145" s="7"/>
      <c r="AI145" s="7"/>
      <c r="AJ145" s="7"/>
      <c r="AK145" s="7"/>
      <c r="AL145" s="7"/>
      <c r="AM145" s="7"/>
      <c r="AN145" s="7"/>
      <c r="AO145" s="7"/>
      <c r="AP145" s="7"/>
      <c r="AQ145" s="7"/>
      <c r="AR145" s="7"/>
      <c r="AS145" s="7"/>
      <c r="AT145" s="7"/>
      <c r="AU145" s="7"/>
      <c r="AV145" s="7"/>
    </row>
    <row r="146" spans="2:48" ht="18" customHeight="1">
      <c r="B146" s="361" t="str">
        <f>"Table 8. "&amp;City_label&amp;" five year change in distribution of households by income and race, 2014 - 2019"</f>
        <v>Table 8. Entiat five year change in distribution of households by income and race, 2014 - 2019</v>
      </c>
      <c r="C146" s="361"/>
      <c r="D146" s="361"/>
      <c r="E146" s="361"/>
      <c r="F146" s="361"/>
      <c r="G146" s="361"/>
      <c r="H146" s="148"/>
      <c r="T146" s="94"/>
      <c r="AA146" s="7"/>
      <c r="AB146" s="7"/>
      <c r="AC146" s="7"/>
      <c r="AD146" s="7"/>
      <c r="AE146" s="7"/>
      <c r="AF146" s="7"/>
      <c r="AG146" s="7"/>
      <c r="AH146" s="7"/>
      <c r="AI146" s="7"/>
      <c r="AJ146" s="7"/>
      <c r="AK146" s="7"/>
      <c r="AL146" s="7"/>
      <c r="AM146" s="7"/>
      <c r="AN146" s="7"/>
      <c r="AO146" s="7"/>
      <c r="AP146" s="7"/>
      <c r="AQ146" s="7"/>
      <c r="AR146" s="7"/>
      <c r="AS146" s="7"/>
      <c r="AT146" s="7"/>
      <c r="AU146" s="7"/>
      <c r="AV146" s="7"/>
    </row>
    <row r="147" spans="2:48" ht="18" customHeight="1" thickBot="1">
      <c r="B147" s="362"/>
      <c r="C147" s="362"/>
      <c r="D147" s="362"/>
      <c r="E147" s="362"/>
      <c r="F147" s="362"/>
      <c r="G147" s="362"/>
      <c r="AA147" s="7"/>
      <c r="AB147" s="7"/>
      <c r="AC147" s="7"/>
      <c r="AD147" s="7"/>
      <c r="AE147" s="7"/>
      <c r="AF147" s="7"/>
      <c r="AG147" s="7"/>
      <c r="AH147" s="7"/>
      <c r="AI147" s="7"/>
      <c r="AJ147" s="7"/>
      <c r="AK147" s="7"/>
      <c r="AL147" s="7"/>
      <c r="AM147" s="7"/>
      <c r="AN147" s="7"/>
      <c r="AO147" s="7"/>
      <c r="AP147" s="7"/>
      <c r="AQ147" s="7"/>
      <c r="AR147" s="7"/>
      <c r="AS147" s="7"/>
      <c r="AT147" s="7"/>
      <c r="AU147" s="7"/>
      <c r="AV147" s="7"/>
    </row>
    <row r="148" spans="2:48" ht="13.9" customHeight="1">
      <c r="B148" s="366"/>
      <c r="C148" s="353" t="s">
        <v>2779</v>
      </c>
      <c r="D148" s="353" t="s">
        <v>1977</v>
      </c>
      <c r="E148" s="353" t="s">
        <v>1978</v>
      </c>
      <c r="F148" s="353" t="s">
        <v>1979</v>
      </c>
      <c r="G148" s="353" t="s">
        <v>1897</v>
      </c>
      <c r="AA148" s="7"/>
      <c r="AB148" s="7"/>
      <c r="AC148" s="7"/>
      <c r="AD148" s="7"/>
      <c r="AE148" s="7"/>
      <c r="AF148" s="7"/>
      <c r="AG148" s="7"/>
      <c r="AH148" s="7"/>
      <c r="AI148" s="7"/>
      <c r="AJ148" s="7"/>
      <c r="AK148" s="7"/>
      <c r="AL148" s="7"/>
      <c r="AM148" s="7"/>
      <c r="AN148" s="7"/>
      <c r="AO148" s="7"/>
      <c r="AP148" s="7"/>
      <c r="AQ148" s="7"/>
      <c r="AR148" s="7"/>
      <c r="AS148" s="7"/>
      <c r="AT148" s="7"/>
      <c r="AU148" s="7"/>
      <c r="AV148" s="7"/>
    </row>
    <row r="149" spans="2:48" ht="20.25" customHeight="1">
      <c r="B149" s="367"/>
      <c r="C149" s="354"/>
      <c r="D149" s="354"/>
      <c r="E149" s="354"/>
      <c r="F149" s="354"/>
      <c r="G149" s="354"/>
      <c r="AA149" s="7"/>
      <c r="AB149" s="7"/>
      <c r="AC149" s="7"/>
      <c r="AD149" s="7"/>
      <c r="AE149" s="7"/>
      <c r="AF149" s="7"/>
      <c r="AG149" s="7"/>
      <c r="AH149" s="7"/>
      <c r="AI149" s="7"/>
      <c r="AJ149" s="7"/>
      <c r="AK149" s="7"/>
      <c r="AL149" s="7"/>
      <c r="AM149" s="7"/>
      <c r="AN149" s="7"/>
      <c r="AO149" s="7"/>
      <c r="AP149" s="7"/>
      <c r="AQ149" s="7"/>
      <c r="AR149" s="7"/>
      <c r="AS149" s="7"/>
      <c r="AT149" s="7"/>
      <c r="AU149" s="7"/>
      <c r="AV149" s="7"/>
    </row>
    <row r="150" spans="2:48" ht="20.25" customHeight="1">
      <c r="B150" s="368"/>
      <c r="C150" s="355"/>
      <c r="D150" s="355"/>
      <c r="E150" s="355"/>
      <c r="F150" s="355"/>
      <c r="G150" s="355"/>
      <c r="AA150" s="7"/>
      <c r="AB150" s="7"/>
      <c r="AC150" s="7"/>
      <c r="AD150" s="7"/>
      <c r="AE150" s="7"/>
      <c r="AF150" s="7"/>
      <c r="AG150" s="7"/>
      <c r="AH150" s="7"/>
      <c r="AI150" s="7"/>
      <c r="AJ150" s="7"/>
      <c r="AK150" s="7"/>
      <c r="AL150" s="7"/>
      <c r="AM150" s="7"/>
      <c r="AN150" s="7"/>
      <c r="AO150" s="7"/>
      <c r="AP150" s="7"/>
      <c r="AQ150" s="7"/>
      <c r="AR150" s="7"/>
      <c r="AS150" s="7"/>
      <c r="AT150" s="7"/>
      <c r="AU150" s="7"/>
      <c r="AV150" s="7"/>
    </row>
    <row r="151" spans="2:48" ht="21.75" customHeight="1">
      <c r="B151" s="233" t="s">
        <v>3</v>
      </c>
      <c r="C151" s="234"/>
      <c r="D151" s="235"/>
      <c r="E151" s="235"/>
      <c r="F151" s="235"/>
      <c r="G151" s="235"/>
      <c r="R151" s="90"/>
      <c r="AA151" s="7"/>
      <c r="AB151" s="7"/>
      <c r="AC151" s="7"/>
      <c r="AD151" s="7"/>
      <c r="AE151" s="7"/>
      <c r="AF151" s="7"/>
      <c r="AG151" s="7"/>
      <c r="AH151" s="7"/>
      <c r="AI151" s="7"/>
      <c r="AJ151" s="7"/>
      <c r="AK151" s="7"/>
      <c r="AL151" s="7"/>
      <c r="AM151" s="7"/>
      <c r="AN151" s="7"/>
      <c r="AO151" s="7"/>
      <c r="AP151" s="7"/>
      <c r="AQ151" s="7"/>
      <c r="AR151" s="7"/>
      <c r="AS151" s="7"/>
      <c r="AT151" s="7"/>
      <c r="AU151" s="7"/>
      <c r="AV151" s="7"/>
    </row>
    <row r="152" spans="2:48" ht="21.75" customHeight="1">
      <c r="B152" s="43">
        <v>2015</v>
      </c>
      <c r="C152" s="267">
        <f>IFERROR(C126/$H126,"0"%)</f>
        <v>0.12114989733059549</v>
      </c>
      <c r="D152" s="267">
        <f t="shared" ref="D152:F153" si="53">IFERROR(D126/$H126,"0"%)</f>
        <v>0.13141683778234087</v>
      </c>
      <c r="E152" s="267">
        <f t="shared" si="53"/>
        <v>0.22587268993839835</v>
      </c>
      <c r="F152" s="267">
        <f t="shared" si="53"/>
        <v>8.0082135523613956E-2</v>
      </c>
      <c r="G152" s="267">
        <f>G126/$H126</f>
        <v>0.44147843942505133</v>
      </c>
      <c r="S152" s="90"/>
      <c r="AA152" s="7"/>
      <c r="AB152" s="7"/>
      <c r="AC152" s="7"/>
      <c r="AD152" s="7"/>
      <c r="AE152" s="7"/>
      <c r="AF152" s="7"/>
      <c r="AG152" s="7"/>
      <c r="AH152" s="7"/>
      <c r="AI152" s="7"/>
      <c r="AJ152" s="7"/>
      <c r="AK152" s="7"/>
      <c r="AL152" s="7"/>
      <c r="AM152" s="7"/>
      <c r="AN152" s="7"/>
      <c r="AO152" s="7"/>
      <c r="AP152" s="7"/>
      <c r="AQ152" s="7"/>
      <c r="AR152" s="7"/>
      <c r="AS152" s="7"/>
      <c r="AT152" s="7"/>
      <c r="AU152" s="7"/>
      <c r="AV152" s="7"/>
    </row>
    <row r="153" spans="2:48" ht="21.75" customHeight="1">
      <c r="B153" s="43">
        <v>2020</v>
      </c>
      <c r="C153" s="267">
        <f>IFERROR(C127/$H127,"0"%)</f>
        <v>0.12740384615384615</v>
      </c>
      <c r="D153" s="267">
        <f t="shared" si="53"/>
        <v>0.10817307692307693</v>
      </c>
      <c r="E153" s="267">
        <f t="shared" si="53"/>
        <v>0.12980769230769232</v>
      </c>
      <c r="F153" s="267">
        <f t="shared" si="53"/>
        <v>0.14423076923076922</v>
      </c>
      <c r="G153" s="267">
        <f>G127/$H127</f>
        <v>0.49038461538461536</v>
      </c>
      <c r="T153" s="90"/>
      <c r="AA153" s="7"/>
      <c r="AB153" s="7"/>
      <c r="AC153" s="7"/>
      <c r="AD153" s="7"/>
      <c r="AE153" s="7"/>
      <c r="AF153" s="7"/>
      <c r="AG153" s="7"/>
      <c r="AH153" s="7"/>
      <c r="AI153" s="7"/>
      <c r="AJ153" s="7"/>
      <c r="AK153" s="7"/>
      <c r="AL153" s="7"/>
      <c r="AM153" s="7"/>
      <c r="AN153" s="7"/>
      <c r="AO153" s="7"/>
      <c r="AP153" s="7"/>
      <c r="AQ153" s="7"/>
      <c r="AR153" s="7"/>
      <c r="AS153" s="7"/>
      <c r="AT153" s="7"/>
      <c r="AU153" s="7"/>
      <c r="AV153" s="7"/>
    </row>
    <row r="154" spans="2:48" ht="18" customHeight="1">
      <c r="B154" s="233" t="s">
        <v>2666</v>
      </c>
      <c r="C154" s="238"/>
      <c r="D154" s="238"/>
      <c r="E154" s="238"/>
      <c r="F154" s="238"/>
      <c r="G154" s="238"/>
      <c r="AA154" s="7"/>
      <c r="AB154" s="7"/>
      <c r="AC154" s="7"/>
      <c r="AD154" s="7"/>
      <c r="AE154" s="7"/>
      <c r="AF154" s="7"/>
      <c r="AG154" s="7"/>
      <c r="AH154" s="7"/>
      <c r="AI154" s="7"/>
      <c r="AJ154" s="7"/>
      <c r="AK154" s="7"/>
      <c r="AL154" s="7"/>
      <c r="AM154" s="7"/>
      <c r="AN154" s="7"/>
      <c r="AO154" s="7"/>
      <c r="AP154" s="7"/>
      <c r="AQ154" s="7"/>
      <c r="AR154" s="7"/>
      <c r="AS154" s="7"/>
      <c r="AT154" s="7"/>
      <c r="AU154" s="7"/>
      <c r="AV154" s="7"/>
    </row>
    <row r="155" spans="2:48" ht="18" customHeight="1">
      <c r="B155" s="43">
        <v>2015</v>
      </c>
      <c r="C155" s="267">
        <f t="shared" ref="C155:G156" si="54">IFERROR(C129/$H129,"0"%)</f>
        <v>0</v>
      </c>
      <c r="D155" s="267">
        <f t="shared" si="54"/>
        <v>0</v>
      </c>
      <c r="E155" s="267">
        <f t="shared" si="54"/>
        <v>0</v>
      </c>
      <c r="F155" s="267">
        <f t="shared" si="54"/>
        <v>0</v>
      </c>
      <c r="G155" s="267">
        <f t="shared" si="54"/>
        <v>0</v>
      </c>
      <c r="Q155" s="90"/>
      <c r="AA155" s="7"/>
      <c r="AB155" s="7"/>
      <c r="AC155" s="7"/>
      <c r="AD155" s="7"/>
      <c r="AE155" s="7"/>
      <c r="AF155" s="7"/>
      <c r="AG155" s="7"/>
      <c r="AH155" s="7"/>
      <c r="AI155" s="7"/>
      <c r="AJ155" s="7"/>
      <c r="AK155" s="7"/>
      <c r="AL155" s="7"/>
      <c r="AM155" s="7"/>
      <c r="AN155" s="7"/>
      <c r="AO155" s="7"/>
      <c r="AP155" s="7"/>
      <c r="AQ155" s="7"/>
      <c r="AR155" s="7"/>
      <c r="AS155" s="7"/>
      <c r="AT155" s="7"/>
      <c r="AU155" s="7"/>
      <c r="AV155" s="7"/>
    </row>
    <row r="156" spans="2:48" ht="18" customHeight="1">
      <c r="B156" s="43">
        <v>2020</v>
      </c>
      <c r="C156" s="267">
        <f t="shared" si="54"/>
        <v>0</v>
      </c>
      <c r="D156" s="267">
        <f t="shared" si="54"/>
        <v>0</v>
      </c>
      <c r="E156" s="267">
        <f t="shared" si="54"/>
        <v>0</v>
      </c>
      <c r="F156" s="267">
        <f t="shared" si="54"/>
        <v>0</v>
      </c>
      <c r="G156" s="267">
        <f t="shared" si="54"/>
        <v>0</v>
      </c>
      <c r="AA156" s="7"/>
      <c r="AB156" s="7"/>
      <c r="AC156" s="7"/>
      <c r="AD156" s="7"/>
      <c r="AE156" s="7"/>
      <c r="AF156" s="7"/>
      <c r="AG156" s="7"/>
      <c r="AH156" s="7"/>
      <c r="AI156" s="7"/>
      <c r="AJ156" s="7"/>
      <c r="AK156" s="7"/>
      <c r="AL156" s="7"/>
      <c r="AM156" s="7"/>
      <c r="AN156" s="7"/>
      <c r="AO156" s="7"/>
      <c r="AP156" s="7"/>
      <c r="AQ156" s="7"/>
      <c r="AR156" s="7"/>
      <c r="AS156" s="7"/>
      <c r="AT156" s="7"/>
      <c r="AU156" s="7"/>
      <c r="AV156" s="7"/>
    </row>
    <row r="157" spans="2:48" ht="18" customHeight="1">
      <c r="B157" s="233" t="s">
        <v>2673</v>
      </c>
      <c r="C157" s="238"/>
      <c r="D157" s="238"/>
      <c r="E157" s="238"/>
      <c r="F157" s="238"/>
      <c r="G157" s="238"/>
      <c r="AA157" s="7"/>
      <c r="AB157" s="7"/>
      <c r="AC157" s="7"/>
      <c r="AD157" s="7"/>
      <c r="AE157" s="7"/>
      <c r="AF157" s="7"/>
      <c r="AG157" s="7"/>
      <c r="AH157" s="7"/>
      <c r="AI157" s="7"/>
      <c r="AJ157" s="7"/>
      <c r="AK157" s="7"/>
      <c r="AL157" s="7"/>
      <c r="AM157" s="7"/>
      <c r="AN157" s="7"/>
      <c r="AO157" s="7"/>
      <c r="AP157" s="7"/>
      <c r="AQ157" s="7"/>
      <c r="AR157" s="7"/>
      <c r="AS157" s="7"/>
      <c r="AT157" s="7"/>
      <c r="AU157" s="7"/>
      <c r="AV157" s="7"/>
    </row>
    <row r="158" spans="2:48" ht="18" customHeight="1">
      <c r="B158" s="43">
        <v>2015</v>
      </c>
      <c r="C158" s="267">
        <f t="shared" ref="C158:G159" si="55">IFERROR(C132/$H132,"0"%)</f>
        <v>0</v>
      </c>
      <c r="D158" s="267">
        <f t="shared" si="55"/>
        <v>0</v>
      </c>
      <c r="E158" s="267">
        <f t="shared" si="55"/>
        <v>0</v>
      </c>
      <c r="F158" s="267">
        <f t="shared" si="55"/>
        <v>0</v>
      </c>
      <c r="G158" s="267">
        <f t="shared" si="55"/>
        <v>0</v>
      </c>
      <c r="AA158" s="7"/>
      <c r="AB158" s="7"/>
      <c r="AC158" s="7"/>
      <c r="AD158" s="7"/>
      <c r="AE158" s="7"/>
      <c r="AF158" s="7"/>
      <c r="AG158" s="7"/>
      <c r="AH158" s="7"/>
      <c r="AI158" s="7"/>
      <c r="AJ158" s="7"/>
      <c r="AK158" s="7"/>
      <c r="AL158" s="7"/>
      <c r="AM158" s="7"/>
      <c r="AN158" s="7"/>
      <c r="AO158" s="7"/>
      <c r="AP158" s="7"/>
      <c r="AQ158" s="7"/>
      <c r="AR158" s="7"/>
      <c r="AS158" s="7"/>
      <c r="AT158" s="7"/>
      <c r="AU158" s="7"/>
      <c r="AV158" s="7"/>
    </row>
    <row r="159" spans="2:48" ht="18" customHeight="1">
      <c r="B159" s="43">
        <v>2020</v>
      </c>
      <c r="C159" s="267">
        <f t="shared" si="55"/>
        <v>0</v>
      </c>
      <c r="D159" s="267">
        <f t="shared" si="55"/>
        <v>0</v>
      </c>
      <c r="E159" s="267">
        <f t="shared" si="55"/>
        <v>0</v>
      </c>
      <c r="F159" s="267">
        <f t="shared" si="55"/>
        <v>0</v>
      </c>
      <c r="G159" s="267">
        <f t="shared" si="55"/>
        <v>0</v>
      </c>
      <c r="AA159" s="7"/>
      <c r="AB159" s="7"/>
      <c r="AC159" s="7"/>
      <c r="AD159" s="7"/>
      <c r="AE159" s="7"/>
      <c r="AF159" s="7"/>
      <c r="AG159" s="7"/>
      <c r="AH159" s="7"/>
      <c r="AI159" s="7"/>
      <c r="AJ159" s="7"/>
      <c r="AK159" s="7"/>
      <c r="AL159" s="7"/>
      <c r="AM159" s="7"/>
      <c r="AN159" s="7"/>
      <c r="AO159" s="7"/>
      <c r="AP159" s="7"/>
      <c r="AQ159" s="7"/>
      <c r="AR159" s="7"/>
      <c r="AS159" s="7"/>
      <c r="AT159" s="7"/>
      <c r="AU159" s="7"/>
      <c r="AV159" s="7"/>
    </row>
    <row r="160" spans="2:48" ht="18" customHeight="1">
      <c r="B160" s="233" t="s">
        <v>2790</v>
      </c>
      <c r="C160" s="238"/>
      <c r="D160" s="238"/>
      <c r="E160" s="238"/>
      <c r="F160" s="238"/>
      <c r="G160" s="238"/>
      <c r="AA160" s="7"/>
      <c r="AB160" s="7"/>
      <c r="AC160" s="7"/>
      <c r="AD160" s="7"/>
      <c r="AE160" s="7"/>
      <c r="AF160" s="7"/>
      <c r="AG160" s="7"/>
      <c r="AH160" s="7"/>
      <c r="AI160" s="7"/>
      <c r="AJ160" s="7"/>
      <c r="AK160" s="7"/>
      <c r="AL160" s="7"/>
      <c r="AM160" s="7"/>
      <c r="AN160" s="7"/>
      <c r="AO160" s="7"/>
      <c r="AP160" s="7"/>
      <c r="AQ160" s="7"/>
      <c r="AR160" s="7"/>
      <c r="AS160" s="7"/>
      <c r="AT160" s="7"/>
      <c r="AU160" s="7"/>
      <c r="AV160" s="7"/>
    </row>
    <row r="161" spans="2:48" ht="18" customHeight="1">
      <c r="B161" s="43">
        <v>2015</v>
      </c>
      <c r="C161" s="267">
        <f t="shared" ref="C161:G162" si="56">IFERROR(C135/$H135,"0"%)</f>
        <v>0</v>
      </c>
      <c r="D161" s="267">
        <f t="shared" si="56"/>
        <v>0.26027397260273971</v>
      </c>
      <c r="E161" s="267">
        <f t="shared" si="56"/>
        <v>0.26027397260273971</v>
      </c>
      <c r="F161" s="267">
        <f t="shared" si="56"/>
        <v>0</v>
      </c>
      <c r="G161" s="267">
        <f t="shared" si="56"/>
        <v>0.47945205479452052</v>
      </c>
      <c r="AA161" s="7"/>
      <c r="AB161" s="7"/>
      <c r="AC161" s="7"/>
      <c r="AD161" s="7"/>
      <c r="AE161" s="7"/>
      <c r="AF161" s="7"/>
      <c r="AG161" s="7"/>
      <c r="AH161" s="7"/>
      <c r="AI161" s="7"/>
      <c r="AJ161" s="7"/>
      <c r="AK161" s="7"/>
      <c r="AL161" s="7"/>
      <c r="AM161" s="7"/>
      <c r="AN161" s="7"/>
      <c r="AO161" s="7"/>
      <c r="AP161" s="7"/>
      <c r="AQ161" s="7"/>
      <c r="AR161" s="7"/>
      <c r="AS161" s="7"/>
      <c r="AT161" s="7"/>
      <c r="AU161" s="7"/>
      <c r="AV161" s="7"/>
    </row>
    <row r="162" spans="2:48" ht="18" customHeight="1">
      <c r="B162" s="43">
        <v>2020</v>
      </c>
      <c r="C162" s="267">
        <f t="shared" si="56"/>
        <v>3.9603960396039604E-2</v>
      </c>
      <c r="D162" s="267">
        <f t="shared" si="56"/>
        <v>0</v>
      </c>
      <c r="E162" s="267">
        <f t="shared" si="56"/>
        <v>0.13861386138613863</v>
      </c>
      <c r="F162" s="267">
        <f t="shared" si="56"/>
        <v>0.18811881188118812</v>
      </c>
      <c r="G162" s="267">
        <f t="shared" si="56"/>
        <v>0.63366336633663367</v>
      </c>
      <c r="AA162" s="7"/>
      <c r="AB162" s="7"/>
      <c r="AC162" s="7"/>
      <c r="AD162" s="7"/>
      <c r="AE162" s="7"/>
      <c r="AF162" s="7"/>
      <c r="AG162" s="7"/>
      <c r="AH162" s="7"/>
      <c r="AI162" s="7"/>
      <c r="AJ162" s="7"/>
      <c r="AK162" s="7"/>
      <c r="AL162" s="7"/>
      <c r="AM162" s="7"/>
      <c r="AN162" s="7"/>
      <c r="AO162" s="7"/>
      <c r="AP162" s="7"/>
      <c r="AQ162" s="7"/>
      <c r="AR162" s="7"/>
      <c r="AS162" s="7"/>
      <c r="AT162" s="7"/>
      <c r="AU162" s="7"/>
      <c r="AV162" s="7"/>
    </row>
    <row r="163" spans="2:48" ht="18" customHeight="1">
      <c r="B163" s="233" t="s">
        <v>2706</v>
      </c>
      <c r="C163" s="238"/>
      <c r="D163" s="238"/>
      <c r="E163" s="238"/>
      <c r="F163" s="238"/>
      <c r="G163" s="238"/>
      <c r="AA163" s="7"/>
      <c r="AB163" s="7"/>
      <c r="AC163" s="7"/>
      <c r="AD163" s="7"/>
      <c r="AE163" s="7"/>
      <c r="AF163" s="7"/>
      <c r="AG163" s="7"/>
      <c r="AH163" s="7"/>
      <c r="AI163" s="7"/>
      <c r="AJ163" s="7"/>
      <c r="AK163" s="7"/>
      <c r="AL163" s="7"/>
      <c r="AM163" s="7"/>
      <c r="AN163" s="7"/>
      <c r="AO163" s="7"/>
      <c r="AP163" s="7"/>
      <c r="AQ163" s="7"/>
      <c r="AR163" s="7"/>
      <c r="AS163" s="7"/>
      <c r="AT163" s="7"/>
      <c r="AU163" s="7"/>
      <c r="AV163" s="7"/>
    </row>
    <row r="164" spans="2:48" ht="18" customHeight="1">
      <c r="B164" s="43">
        <v>2015</v>
      </c>
      <c r="C164" s="267">
        <f t="shared" ref="C164:G165" si="57">IFERROR(C138/$H138,"0"%)</f>
        <v>0</v>
      </c>
      <c r="D164" s="267">
        <f t="shared" si="57"/>
        <v>0</v>
      </c>
      <c r="E164" s="267">
        <f t="shared" si="57"/>
        <v>0.22222222222222221</v>
      </c>
      <c r="F164" s="267">
        <f t="shared" si="57"/>
        <v>0</v>
      </c>
      <c r="G164" s="267">
        <f t="shared" si="57"/>
        <v>0.77777777777777779</v>
      </c>
      <c r="AA164" s="7"/>
      <c r="AB164" s="7"/>
      <c r="AC164" s="7"/>
      <c r="AD164" s="7"/>
      <c r="AE164" s="7"/>
      <c r="AF164" s="7"/>
      <c r="AG164" s="7"/>
      <c r="AH164" s="7"/>
      <c r="AI164" s="7"/>
      <c r="AJ164" s="7"/>
      <c r="AK164" s="7"/>
      <c r="AL164" s="7"/>
      <c r="AM164" s="7"/>
      <c r="AN164" s="7"/>
      <c r="AO164" s="7"/>
      <c r="AP164" s="7"/>
      <c r="AQ164" s="7"/>
      <c r="AR164" s="7"/>
      <c r="AS164" s="7"/>
      <c r="AT164" s="7"/>
      <c r="AU164" s="7"/>
      <c r="AV164" s="7"/>
    </row>
    <row r="165" spans="2:48" ht="18" customHeight="1">
      <c r="B165" s="43">
        <v>2020</v>
      </c>
      <c r="C165" s="267">
        <f t="shared" si="57"/>
        <v>0.23076923076923078</v>
      </c>
      <c r="D165" s="267">
        <f t="shared" si="57"/>
        <v>0</v>
      </c>
      <c r="E165" s="267">
        <f t="shared" si="57"/>
        <v>0.26923076923076922</v>
      </c>
      <c r="F165" s="267">
        <f t="shared" si="57"/>
        <v>7.6923076923076927E-2</v>
      </c>
      <c r="G165" s="267">
        <f t="shared" si="57"/>
        <v>0.42307692307692307</v>
      </c>
      <c r="AA165" s="7"/>
      <c r="AB165" s="7"/>
      <c r="AC165" s="7"/>
      <c r="AD165" s="7"/>
      <c r="AE165" s="7"/>
      <c r="AF165" s="7"/>
      <c r="AG165" s="7"/>
      <c r="AH165" s="7"/>
      <c r="AI165" s="7"/>
      <c r="AJ165" s="7"/>
      <c r="AK165" s="7"/>
      <c r="AL165" s="7"/>
      <c r="AM165" s="7"/>
      <c r="AN165" s="7"/>
      <c r="AO165" s="7"/>
      <c r="AP165" s="7"/>
      <c r="AQ165" s="7"/>
      <c r="AR165" s="7"/>
      <c r="AS165" s="7"/>
      <c r="AT165" s="7"/>
      <c r="AU165" s="7"/>
      <c r="AV165" s="7"/>
    </row>
    <row r="166" spans="2:48" ht="18" customHeight="1">
      <c r="B166" s="233" t="s">
        <v>2672</v>
      </c>
      <c r="C166" s="238"/>
      <c r="D166" s="238"/>
      <c r="E166" s="238"/>
      <c r="F166" s="238"/>
      <c r="G166" s="238"/>
      <c r="AA166" s="7"/>
      <c r="AB166" s="7"/>
      <c r="AC166" s="7"/>
      <c r="AD166" s="7"/>
      <c r="AE166" s="7"/>
      <c r="AF166" s="7"/>
      <c r="AG166" s="7"/>
      <c r="AH166" s="7"/>
      <c r="AI166" s="7"/>
      <c r="AJ166" s="7"/>
      <c r="AK166" s="7"/>
      <c r="AL166" s="7"/>
      <c r="AM166" s="7"/>
      <c r="AN166" s="7"/>
      <c r="AO166" s="7"/>
      <c r="AP166" s="7"/>
      <c r="AQ166" s="7"/>
      <c r="AR166" s="7"/>
      <c r="AS166" s="7"/>
      <c r="AT166" s="7"/>
      <c r="AU166" s="7"/>
      <c r="AV166" s="7"/>
    </row>
    <row r="167" spans="2:48" ht="18" customHeight="1">
      <c r="B167" s="43">
        <v>2015</v>
      </c>
      <c r="C167" s="267">
        <f t="shared" ref="C167:G168" si="58">IFERROR(C141/$H141,"0"%)</f>
        <v>0.14824120603015076</v>
      </c>
      <c r="D167" s="267">
        <f t="shared" si="58"/>
        <v>0.11306532663316583</v>
      </c>
      <c r="E167" s="267">
        <f t="shared" si="58"/>
        <v>0.22613065326633167</v>
      </c>
      <c r="F167" s="267">
        <f t="shared" si="58"/>
        <v>9.7989949748743713E-2</v>
      </c>
      <c r="G167" s="267">
        <f t="shared" si="58"/>
        <v>0.41457286432160806</v>
      </c>
      <c r="K167" s="130"/>
      <c r="L167" s="130"/>
      <c r="M167" s="130"/>
      <c r="N167" s="130"/>
      <c r="O167" s="130"/>
      <c r="P167" s="130"/>
      <c r="AA167" s="7"/>
      <c r="AB167" s="7"/>
      <c r="AC167" s="7"/>
      <c r="AD167" s="7"/>
      <c r="AE167" s="7"/>
      <c r="AF167" s="7"/>
      <c r="AG167" s="7"/>
      <c r="AH167" s="7"/>
      <c r="AI167" s="7"/>
      <c r="AJ167" s="7"/>
      <c r="AK167" s="7"/>
      <c r="AL167" s="7"/>
      <c r="AM167" s="7"/>
      <c r="AN167" s="7"/>
      <c r="AO167" s="7"/>
      <c r="AP167" s="7"/>
      <c r="AQ167" s="7"/>
      <c r="AR167" s="7"/>
      <c r="AS167" s="7"/>
      <c r="AT167" s="7"/>
      <c r="AU167" s="7"/>
      <c r="AV167" s="7"/>
    </row>
    <row r="168" spans="2:48" ht="18" customHeight="1" thickBot="1">
      <c r="B168" s="240">
        <v>2020</v>
      </c>
      <c r="C168" s="267">
        <f t="shared" si="58"/>
        <v>0.14878892733564014</v>
      </c>
      <c r="D168" s="267">
        <f t="shared" si="58"/>
        <v>0.15570934256055363</v>
      </c>
      <c r="E168" s="267">
        <f t="shared" si="58"/>
        <v>0.11418685121107267</v>
      </c>
      <c r="F168" s="267">
        <f t="shared" si="58"/>
        <v>0.13494809688581316</v>
      </c>
      <c r="G168" s="267">
        <f t="shared" si="58"/>
        <v>0.44636678200692043</v>
      </c>
      <c r="K168" s="130"/>
      <c r="L168" s="130"/>
      <c r="M168" s="130"/>
      <c r="N168" s="130"/>
      <c r="O168" s="130"/>
      <c r="P168" s="130"/>
      <c r="AA168" s="7"/>
      <c r="AB168" s="7"/>
      <c r="AC168" s="7"/>
      <c r="AD168" s="7"/>
      <c r="AE168" s="7"/>
      <c r="AF168" s="7"/>
      <c r="AG168" s="7"/>
      <c r="AH168" s="7"/>
      <c r="AI168" s="7"/>
      <c r="AJ168" s="7"/>
      <c r="AK168" s="7"/>
      <c r="AL168" s="7"/>
      <c r="AM168" s="7"/>
      <c r="AN168" s="7"/>
      <c r="AO168" s="7"/>
      <c r="AP168" s="7"/>
      <c r="AQ168" s="7"/>
      <c r="AR168" s="7"/>
      <c r="AS168" s="7"/>
      <c r="AT168" s="7"/>
      <c r="AU168" s="7"/>
      <c r="AV168" s="7"/>
    </row>
    <row r="169" spans="2:48" ht="17.25" customHeight="1">
      <c r="B169" s="365" t="s">
        <v>2764</v>
      </c>
      <c r="C169" s="365"/>
      <c r="D169" s="365"/>
      <c r="E169" s="365"/>
      <c r="F169" s="365"/>
      <c r="G169" s="365"/>
      <c r="H169" s="184"/>
      <c r="I169" s="184"/>
      <c r="AA169" s="7"/>
      <c r="AB169" s="7"/>
      <c r="AC169" s="7"/>
      <c r="AD169" s="7"/>
      <c r="AE169" s="7"/>
      <c r="AF169" s="7"/>
      <c r="AG169" s="7"/>
      <c r="AH169" s="7"/>
      <c r="AI169" s="7"/>
      <c r="AJ169" s="7"/>
      <c r="AK169" s="7"/>
      <c r="AL169" s="7"/>
      <c r="AM169" s="7"/>
      <c r="AN169" s="7"/>
      <c r="AO169" s="7"/>
      <c r="AP169" s="7"/>
      <c r="AQ169" s="7"/>
      <c r="AR169" s="7"/>
      <c r="AS169" s="7"/>
      <c r="AT169" s="7"/>
      <c r="AU169" s="7"/>
      <c r="AV169" s="7"/>
    </row>
    <row r="170" spans="2:48" ht="17.25" customHeight="1">
      <c r="B170" s="364"/>
      <c r="C170" s="364"/>
      <c r="D170" s="364"/>
      <c r="E170" s="364"/>
      <c r="F170" s="364"/>
      <c r="G170" s="364"/>
      <c r="H170" s="184"/>
      <c r="I170" s="184"/>
      <c r="AA170" s="7"/>
      <c r="AB170" s="7"/>
      <c r="AC170" s="7"/>
      <c r="AD170" s="7"/>
      <c r="AE170" s="7"/>
      <c r="AF170" s="7"/>
      <c r="AG170" s="7"/>
      <c r="AH170" s="7"/>
      <c r="AI170" s="7"/>
      <c r="AJ170" s="7"/>
      <c r="AK170" s="7"/>
      <c r="AL170" s="7"/>
      <c r="AM170" s="7"/>
      <c r="AN170" s="7"/>
      <c r="AO170" s="7"/>
      <c r="AP170" s="7"/>
      <c r="AQ170" s="7"/>
      <c r="AR170" s="7"/>
      <c r="AS170" s="7"/>
      <c r="AT170" s="7"/>
      <c r="AU170" s="7"/>
      <c r="AV170" s="7"/>
    </row>
    <row r="171" spans="2:48" ht="18" customHeight="1">
      <c r="AA171" s="7"/>
      <c r="AB171" s="7"/>
      <c r="AC171" s="7"/>
      <c r="AD171" s="7"/>
      <c r="AE171" s="7"/>
      <c r="AF171" s="7"/>
      <c r="AG171" s="7"/>
      <c r="AH171" s="7"/>
      <c r="AI171" s="7"/>
      <c r="AJ171" s="7"/>
      <c r="AK171" s="7"/>
      <c r="AL171" s="7"/>
      <c r="AM171" s="7"/>
      <c r="AN171" s="7"/>
      <c r="AO171" s="7"/>
      <c r="AP171" s="7"/>
      <c r="AQ171" s="7"/>
      <c r="AR171" s="7"/>
      <c r="AS171" s="7"/>
      <c r="AT171" s="7"/>
      <c r="AU171" s="7"/>
      <c r="AV171" s="7"/>
    </row>
    <row r="172" spans="2:48" ht="22.5" customHeight="1">
      <c r="B172" s="360" t="str">
        <f>"Chart 15. "&amp;City_label&amp;" percentage of all households by income category and race, (2010 - 2014 vs 2015 - 2019)"</f>
        <v>Chart 15. Entiat percentage of all households by income category and race, (2010 - 2014 vs 2015 - 2019)</v>
      </c>
      <c r="C172" s="360"/>
      <c r="D172" s="360"/>
      <c r="E172" s="360"/>
      <c r="F172" s="360"/>
      <c r="G172" s="360"/>
      <c r="H172" s="360"/>
      <c r="I172" s="360"/>
      <c r="J172" s="360"/>
      <c r="AA172" s="7"/>
      <c r="AB172" s="7"/>
      <c r="AC172" s="7"/>
      <c r="AD172" s="7"/>
      <c r="AE172" s="7"/>
      <c r="AF172" s="7"/>
      <c r="AG172" s="7"/>
      <c r="AH172" s="7"/>
      <c r="AI172" s="7"/>
      <c r="AJ172" s="7"/>
      <c r="AK172" s="7"/>
      <c r="AL172" s="7"/>
      <c r="AM172" s="7"/>
      <c r="AN172" s="7"/>
      <c r="AO172" s="7"/>
      <c r="AP172" s="7"/>
      <c r="AQ172" s="7"/>
      <c r="AR172" s="7"/>
      <c r="AS172" s="7"/>
      <c r="AT172" s="7"/>
      <c r="AU172" s="7"/>
      <c r="AV172" s="7"/>
    </row>
    <row r="173" spans="2:48" ht="22.5" customHeight="1">
      <c r="B173" s="360"/>
      <c r="C173" s="360"/>
      <c r="D173" s="360"/>
      <c r="E173" s="360"/>
      <c r="F173" s="360"/>
      <c r="G173" s="360"/>
      <c r="H173" s="360"/>
      <c r="I173" s="360"/>
      <c r="J173" s="360"/>
      <c r="AA173" s="7"/>
      <c r="AB173" s="7"/>
      <c r="AC173" s="7"/>
      <c r="AD173" s="7"/>
      <c r="AE173" s="7"/>
      <c r="AF173" s="7"/>
      <c r="AG173" s="7"/>
      <c r="AH173" s="7"/>
      <c r="AI173" s="7"/>
      <c r="AJ173" s="7"/>
      <c r="AK173" s="7"/>
      <c r="AL173" s="7"/>
      <c r="AM173" s="7"/>
      <c r="AN173" s="7"/>
      <c r="AO173" s="7"/>
      <c r="AP173" s="7"/>
      <c r="AQ173" s="7"/>
      <c r="AR173" s="7"/>
      <c r="AS173" s="7"/>
      <c r="AT173" s="7"/>
      <c r="AU173" s="7"/>
      <c r="AV173" s="7"/>
    </row>
    <row r="174" spans="2:48" ht="15" customHeight="1">
      <c r="AA174" s="7"/>
      <c r="AB174" s="7"/>
      <c r="AC174" s="7"/>
      <c r="AD174" s="7"/>
      <c r="AE174" s="7"/>
      <c r="AF174" s="7"/>
      <c r="AG174" s="7"/>
      <c r="AH174" s="7"/>
      <c r="AI174" s="7"/>
      <c r="AJ174" s="7"/>
      <c r="AK174" s="7"/>
      <c r="AL174" s="7"/>
      <c r="AM174" s="7"/>
      <c r="AN174" s="7"/>
      <c r="AO174" s="7"/>
      <c r="AP174" s="7"/>
      <c r="AQ174" s="7"/>
      <c r="AR174" s="7"/>
      <c r="AS174" s="7"/>
      <c r="AT174" s="7"/>
      <c r="AU174" s="7"/>
      <c r="AV174" s="7"/>
    </row>
    <row r="175" spans="2:48" ht="18.75" customHeight="1">
      <c r="AA175" s="7"/>
      <c r="AB175" s="7"/>
      <c r="AC175" s="7"/>
      <c r="AD175" s="7"/>
      <c r="AE175" s="7"/>
      <c r="AF175" s="7"/>
      <c r="AG175" s="7"/>
      <c r="AH175" s="7"/>
      <c r="AI175" s="7"/>
      <c r="AJ175" s="7"/>
      <c r="AK175" s="7"/>
      <c r="AL175" s="7"/>
      <c r="AM175" s="7"/>
      <c r="AN175" s="7"/>
      <c r="AO175" s="7"/>
      <c r="AP175" s="7"/>
      <c r="AQ175" s="7"/>
      <c r="AR175" s="7"/>
      <c r="AS175" s="7"/>
      <c r="AT175" s="7"/>
      <c r="AU175" s="7"/>
      <c r="AV175" s="7"/>
    </row>
    <row r="176" spans="2:48" ht="18.75" customHeight="1">
      <c r="AA176" s="7"/>
      <c r="AB176" s="7"/>
      <c r="AC176" s="7"/>
      <c r="AD176" s="7"/>
      <c r="AE176" s="7"/>
      <c r="AF176" s="7"/>
      <c r="AG176" s="7"/>
      <c r="AH176" s="7"/>
      <c r="AI176" s="7"/>
      <c r="AJ176" s="7"/>
      <c r="AK176" s="7"/>
      <c r="AL176" s="7"/>
      <c r="AM176" s="7"/>
      <c r="AN176" s="7"/>
      <c r="AO176" s="7"/>
      <c r="AP176" s="7"/>
      <c r="AQ176" s="7"/>
      <c r="AR176" s="7"/>
      <c r="AS176" s="7"/>
      <c r="AT176" s="7"/>
      <c r="AU176" s="7"/>
      <c r="AV176" s="7"/>
    </row>
    <row r="177" spans="27:48" ht="15" customHeight="1">
      <c r="AA177" s="7"/>
      <c r="AB177" s="7"/>
      <c r="AC177" s="7"/>
      <c r="AD177" s="7"/>
      <c r="AE177" s="7"/>
      <c r="AF177" s="7"/>
      <c r="AG177" s="7"/>
      <c r="AH177" s="7"/>
      <c r="AI177" s="7"/>
      <c r="AJ177" s="7"/>
      <c r="AK177" s="7"/>
      <c r="AL177" s="7"/>
      <c r="AM177" s="7"/>
      <c r="AN177" s="7"/>
      <c r="AO177" s="7"/>
      <c r="AP177" s="7"/>
      <c r="AQ177" s="7"/>
      <c r="AR177" s="7"/>
      <c r="AS177" s="7"/>
      <c r="AT177" s="7"/>
      <c r="AU177" s="7"/>
      <c r="AV177" s="7"/>
    </row>
    <row r="178" spans="27:48" ht="15" customHeight="1">
      <c r="AA178" s="7"/>
      <c r="AB178" s="7"/>
      <c r="AC178" s="7"/>
      <c r="AD178" s="7"/>
      <c r="AE178" s="7"/>
      <c r="AF178" s="7"/>
      <c r="AG178" s="7"/>
      <c r="AH178" s="7"/>
      <c r="AI178" s="7"/>
      <c r="AJ178" s="7"/>
      <c r="AK178" s="7"/>
      <c r="AL178" s="7"/>
      <c r="AM178" s="7"/>
      <c r="AN178" s="7"/>
      <c r="AO178" s="7"/>
      <c r="AP178" s="7"/>
      <c r="AQ178" s="7"/>
      <c r="AR178" s="7"/>
      <c r="AS178" s="7"/>
      <c r="AT178" s="7"/>
      <c r="AU178" s="7"/>
      <c r="AV178" s="7"/>
    </row>
    <row r="179" spans="27:48" ht="15" customHeight="1">
      <c r="AA179" s="7"/>
      <c r="AB179" s="7"/>
      <c r="AC179" s="7"/>
      <c r="AD179" s="7"/>
      <c r="AE179" s="7"/>
      <c r="AF179" s="7"/>
      <c r="AG179" s="7"/>
      <c r="AH179" s="7"/>
      <c r="AI179" s="7"/>
      <c r="AJ179" s="7"/>
      <c r="AK179" s="7"/>
      <c r="AL179" s="7"/>
      <c r="AM179" s="7"/>
      <c r="AN179" s="7"/>
      <c r="AO179" s="7"/>
      <c r="AP179" s="7"/>
      <c r="AQ179" s="7"/>
      <c r="AR179" s="7"/>
      <c r="AS179" s="7"/>
      <c r="AT179" s="7"/>
      <c r="AU179" s="7"/>
      <c r="AV179" s="7"/>
    </row>
    <row r="180" spans="27:48" ht="13.9" customHeight="1">
      <c r="AA180" s="7"/>
      <c r="AB180" s="7"/>
      <c r="AC180" s="7"/>
      <c r="AD180" s="7"/>
      <c r="AE180" s="7"/>
      <c r="AF180" s="7"/>
      <c r="AG180" s="7"/>
      <c r="AH180" s="7"/>
      <c r="AI180" s="7"/>
      <c r="AJ180" s="7"/>
      <c r="AK180" s="7"/>
      <c r="AL180" s="7"/>
      <c r="AM180" s="7"/>
      <c r="AN180" s="7"/>
      <c r="AO180" s="7"/>
      <c r="AP180" s="7"/>
      <c r="AQ180" s="7"/>
      <c r="AR180" s="7"/>
      <c r="AS180" s="7"/>
      <c r="AT180" s="7"/>
      <c r="AU180" s="7"/>
      <c r="AV180" s="7"/>
    </row>
    <row r="181" spans="27:48" ht="13.9" customHeight="1">
      <c r="AA181" s="7"/>
      <c r="AB181" s="7"/>
      <c r="AC181" s="7"/>
      <c r="AD181" s="7"/>
      <c r="AE181" s="7"/>
      <c r="AF181" s="7"/>
      <c r="AG181" s="7"/>
      <c r="AH181" s="7"/>
      <c r="AI181" s="7"/>
      <c r="AJ181" s="7"/>
      <c r="AK181" s="7"/>
      <c r="AL181" s="7"/>
      <c r="AM181" s="7"/>
      <c r="AN181" s="7"/>
      <c r="AO181" s="7"/>
      <c r="AP181" s="7"/>
      <c r="AQ181" s="7"/>
      <c r="AR181" s="7"/>
      <c r="AS181" s="7"/>
      <c r="AT181" s="7"/>
      <c r="AU181" s="7"/>
      <c r="AV181" s="7"/>
    </row>
    <row r="182" spans="27:48" ht="13.9" customHeight="1">
      <c r="AA182" s="7"/>
      <c r="AB182" s="7"/>
      <c r="AC182" s="7"/>
      <c r="AD182" s="7"/>
      <c r="AE182" s="7"/>
      <c r="AF182" s="7"/>
      <c r="AG182" s="7"/>
      <c r="AH182" s="7"/>
      <c r="AI182" s="7"/>
      <c r="AJ182" s="7"/>
      <c r="AK182" s="7"/>
      <c r="AL182" s="7"/>
      <c r="AM182" s="7"/>
      <c r="AN182" s="7"/>
      <c r="AO182" s="7"/>
      <c r="AP182" s="7"/>
      <c r="AQ182" s="7"/>
      <c r="AR182" s="7"/>
      <c r="AS182" s="7"/>
      <c r="AT182" s="7"/>
      <c r="AU182" s="7"/>
      <c r="AV182" s="7"/>
    </row>
    <row r="183" spans="27:48" ht="25.5" customHeight="1">
      <c r="AA183" s="7"/>
      <c r="AB183" s="7"/>
      <c r="AC183" s="7"/>
      <c r="AD183" s="7"/>
      <c r="AE183" s="7"/>
      <c r="AF183" s="7"/>
      <c r="AG183" s="7"/>
      <c r="AH183" s="7"/>
      <c r="AI183" s="7"/>
      <c r="AJ183" s="7"/>
      <c r="AK183" s="7"/>
      <c r="AL183" s="7"/>
      <c r="AM183" s="7"/>
      <c r="AN183" s="7"/>
      <c r="AO183" s="7"/>
      <c r="AP183" s="7"/>
      <c r="AQ183" s="7"/>
      <c r="AR183" s="7"/>
      <c r="AS183" s="7"/>
      <c r="AT183" s="7"/>
      <c r="AU183" s="7"/>
      <c r="AV183" s="7"/>
    </row>
    <row r="184" spans="27:48" ht="13.9" customHeight="1">
      <c r="AA184" s="7"/>
      <c r="AB184" s="7"/>
      <c r="AC184" s="7"/>
      <c r="AD184" s="7"/>
      <c r="AE184" s="7"/>
      <c r="AF184" s="7"/>
      <c r="AG184" s="7"/>
      <c r="AH184" s="7"/>
      <c r="AI184" s="7"/>
      <c r="AJ184" s="7"/>
      <c r="AK184" s="7"/>
      <c r="AL184" s="7"/>
      <c r="AM184" s="7"/>
      <c r="AN184" s="7"/>
      <c r="AO184" s="7"/>
      <c r="AP184" s="7"/>
      <c r="AQ184" s="7"/>
      <c r="AR184" s="7"/>
      <c r="AS184" s="7"/>
      <c r="AT184" s="7"/>
      <c r="AU184" s="7"/>
      <c r="AV184" s="7"/>
    </row>
    <row r="185" spans="27:48" ht="13.9" customHeight="1">
      <c r="AA185" s="7"/>
      <c r="AB185" s="7"/>
      <c r="AC185" s="7"/>
      <c r="AD185" s="7"/>
      <c r="AE185" s="7"/>
      <c r="AF185" s="7"/>
      <c r="AG185" s="7"/>
      <c r="AH185" s="7"/>
      <c r="AI185" s="7"/>
      <c r="AJ185" s="7"/>
      <c r="AK185" s="7"/>
      <c r="AL185" s="7"/>
      <c r="AM185" s="7"/>
      <c r="AN185" s="7"/>
      <c r="AO185" s="7"/>
      <c r="AP185" s="7"/>
      <c r="AQ185" s="7"/>
      <c r="AR185" s="7"/>
      <c r="AS185" s="7"/>
      <c r="AT185" s="7"/>
      <c r="AU185" s="7"/>
      <c r="AV185" s="7"/>
    </row>
    <row r="186" spans="27:48" ht="13.9" customHeight="1">
      <c r="AA186" s="7"/>
      <c r="AB186" s="7"/>
      <c r="AC186" s="7"/>
      <c r="AD186" s="7"/>
      <c r="AE186" s="7"/>
      <c r="AF186" s="7"/>
      <c r="AG186" s="7"/>
      <c r="AH186" s="7"/>
      <c r="AI186" s="7"/>
      <c r="AJ186" s="7"/>
      <c r="AK186" s="7"/>
      <c r="AL186" s="7"/>
      <c r="AM186" s="7"/>
      <c r="AN186" s="7"/>
      <c r="AO186" s="7"/>
      <c r="AP186" s="7"/>
      <c r="AQ186" s="7"/>
      <c r="AR186" s="7"/>
      <c r="AS186" s="7"/>
      <c r="AT186" s="7"/>
      <c r="AU186" s="7"/>
      <c r="AV186" s="7"/>
    </row>
    <row r="187" spans="27:48" ht="13.9" customHeight="1">
      <c r="AA187" s="7"/>
      <c r="AB187" s="7"/>
      <c r="AC187" s="7"/>
      <c r="AD187" s="7"/>
      <c r="AE187" s="7"/>
      <c r="AF187" s="7"/>
      <c r="AG187" s="7"/>
      <c r="AH187" s="7"/>
      <c r="AI187" s="7"/>
      <c r="AJ187" s="7"/>
      <c r="AK187" s="7"/>
      <c r="AL187" s="7"/>
      <c r="AM187" s="7"/>
      <c r="AN187" s="7"/>
      <c r="AO187" s="7"/>
      <c r="AP187" s="7"/>
      <c r="AQ187" s="7"/>
      <c r="AR187" s="7"/>
      <c r="AS187" s="7"/>
      <c r="AT187" s="7"/>
      <c r="AU187" s="7"/>
      <c r="AV187" s="7"/>
    </row>
    <row r="188" spans="27:48" ht="13.9" customHeight="1">
      <c r="AA188" s="7"/>
      <c r="AB188" s="7"/>
      <c r="AC188" s="7"/>
      <c r="AD188" s="7"/>
      <c r="AE188" s="7"/>
      <c r="AF188" s="7"/>
      <c r="AG188" s="7"/>
      <c r="AH188" s="7"/>
      <c r="AI188" s="7"/>
      <c r="AJ188" s="7"/>
      <c r="AK188" s="7"/>
      <c r="AL188" s="7"/>
      <c r="AM188" s="7"/>
      <c r="AN188" s="7"/>
      <c r="AO188" s="7"/>
      <c r="AP188" s="7"/>
      <c r="AQ188" s="7"/>
      <c r="AR188" s="7"/>
      <c r="AS188" s="7"/>
      <c r="AT188" s="7"/>
      <c r="AU188" s="7"/>
      <c r="AV188" s="7"/>
    </row>
    <row r="189" spans="27:48" ht="13.9" customHeight="1">
      <c r="AA189" s="7"/>
      <c r="AB189" s="7"/>
      <c r="AC189" s="7"/>
      <c r="AD189" s="7"/>
      <c r="AE189" s="7"/>
      <c r="AF189" s="7"/>
      <c r="AG189" s="7"/>
      <c r="AH189" s="7"/>
      <c r="AI189" s="7"/>
      <c r="AJ189" s="7"/>
      <c r="AK189" s="7"/>
      <c r="AL189" s="7"/>
      <c r="AM189" s="7"/>
      <c r="AN189" s="7"/>
      <c r="AO189" s="7"/>
      <c r="AP189" s="7"/>
      <c r="AQ189" s="7"/>
      <c r="AR189" s="7"/>
      <c r="AS189" s="7"/>
      <c r="AT189" s="7"/>
      <c r="AU189" s="7"/>
      <c r="AV189" s="7"/>
    </row>
    <row r="190" spans="27:48" ht="13.9" customHeight="1">
      <c r="AA190" s="7"/>
      <c r="AB190" s="7"/>
      <c r="AC190" s="7"/>
      <c r="AD190" s="7"/>
      <c r="AE190" s="7"/>
      <c r="AF190" s="7"/>
      <c r="AG190" s="7"/>
      <c r="AH190" s="7"/>
      <c r="AI190" s="7"/>
      <c r="AJ190" s="7"/>
      <c r="AK190" s="7"/>
      <c r="AL190" s="7"/>
      <c r="AM190" s="7"/>
      <c r="AN190" s="7"/>
      <c r="AO190" s="7"/>
      <c r="AP190" s="7"/>
      <c r="AQ190" s="7"/>
      <c r="AR190" s="7"/>
      <c r="AS190" s="7"/>
      <c r="AT190" s="7"/>
      <c r="AU190" s="7"/>
      <c r="AV190" s="7"/>
    </row>
    <row r="191" spans="27:48" ht="15.75" customHeight="1">
      <c r="AA191" s="7"/>
      <c r="AB191" s="7"/>
      <c r="AC191" s="7"/>
      <c r="AD191" s="7"/>
      <c r="AE191" s="7"/>
      <c r="AF191" s="7"/>
      <c r="AG191" s="7"/>
      <c r="AH191" s="7"/>
      <c r="AI191" s="7"/>
      <c r="AJ191" s="7"/>
      <c r="AK191" s="7"/>
      <c r="AL191" s="7"/>
      <c r="AM191" s="7"/>
      <c r="AN191" s="7"/>
      <c r="AO191" s="7"/>
      <c r="AP191" s="7"/>
      <c r="AQ191" s="7"/>
      <c r="AR191" s="7"/>
      <c r="AS191" s="7"/>
      <c r="AT191" s="7"/>
      <c r="AU191" s="7"/>
      <c r="AV191" s="7"/>
    </row>
    <row r="192" spans="27:48" ht="13.9" customHeight="1">
      <c r="AA192" s="7"/>
      <c r="AB192" s="7"/>
      <c r="AC192" s="7"/>
      <c r="AD192" s="7"/>
      <c r="AE192" s="7"/>
      <c r="AF192" s="7"/>
      <c r="AG192" s="7"/>
      <c r="AH192" s="7"/>
      <c r="AI192" s="7"/>
      <c r="AJ192" s="7"/>
      <c r="AK192" s="7"/>
      <c r="AL192" s="7"/>
      <c r="AM192" s="7"/>
      <c r="AN192" s="7"/>
      <c r="AO192" s="7"/>
      <c r="AP192" s="7"/>
      <c r="AQ192" s="7"/>
      <c r="AR192" s="7"/>
      <c r="AS192" s="7"/>
      <c r="AT192" s="7"/>
      <c r="AU192" s="7"/>
      <c r="AV192" s="7"/>
    </row>
    <row r="193" spans="27:48" ht="13.9" customHeight="1">
      <c r="AA193" s="7"/>
      <c r="AB193" s="7"/>
      <c r="AC193" s="7"/>
      <c r="AD193" s="7"/>
      <c r="AE193" s="7"/>
      <c r="AF193" s="7"/>
      <c r="AG193" s="7"/>
      <c r="AH193" s="7"/>
      <c r="AI193" s="7"/>
      <c r="AJ193" s="7"/>
      <c r="AK193" s="7"/>
      <c r="AL193" s="7"/>
      <c r="AM193" s="7"/>
      <c r="AN193" s="7"/>
      <c r="AO193" s="7"/>
      <c r="AP193" s="7"/>
      <c r="AQ193" s="7"/>
      <c r="AR193" s="7"/>
      <c r="AS193" s="7"/>
      <c r="AT193" s="7"/>
      <c r="AU193" s="7"/>
      <c r="AV193" s="7"/>
    </row>
    <row r="194" spans="27:48" ht="13.9" customHeight="1">
      <c r="AA194" s="7"/>
      <c r="AB194" s="7"/>
      <c r="AC194" s="7"/>
      <c r="AD194" s="7"/>
      <c r="AE194" s="7"/>
      <c r="AF194" s="7"/>
      <c r="AG194" s="7"/>
      <c r="AH194" s="7"/>
      <c r="AI194" s="7"/>
      <c r="AJ194" s="7"/>
      <c r="AK194" s="7"/>
      <c r="AL194" s="7"/>
      <c r="AM194" s="7"/>
      <c r="AN194" s="7"/>
      <c r="AO194" s="7"/>
      <c r="AP194" s="7"/>
      <c r="AQ194" s="7"/>
      <c r="AR194" s="7"/>
      <c r="AS194" s="7"/>
      <c r="AT194" s="7"/>
      <c r="AU194" s="7"/>
      <c r="AV194" s="7"/>
    </row>
    <row r="195" spans="27:48" ht="13.9" customHeight="1">
      <c r="AA195" s="7"/>
      <c r="AJ195" s="7"/>
      <c r="AK195" s="7"/>
      <c r="AL195" s="7"/>
      <c r="AM195" s="7"/>
      <c r="AN195" s="7"/>
      <c r="AO195" s="7"/>
      <c r="AP195" s="7"/>
      <c r="AQ195" s="7"/>
      <c r="AR195" s="7"/>
      <c r="AS195" s="7"/>
      <c r="AT195" s="7"/>
      <c r="AU195" s="7"/>
      <c r="AV195" s="7"/>
    </row>
    <row r="196" spans="27:48" ht="13.9" customHeight="1">
      <c r="AA196" s="7"/>
      <c r="AJ196" s="7"/>
      <c r="AK196" s="7"/>
      <c r="AL196" s="7"/>
      <c r="AM196" s="7"/>
      <c r="AN196" s="7"/>
      <c r="AO196" s="7"/>
      <c r="AP196" s="7"/>
      <c r="AQ196" s="7"/>
      <c r="AR196" s="7"/>
      <c r="AS196" s="7"/>
      <c r="AT196" s="7"/>
      <c r="AU196" s="7"/>
      <c r="AV196" s="7"/>
    </row>
    <row r="197" spans="27:48" ht="13.9" customHeight="1">
      <c r="AJ197" s="7"/>
      <c r="AK197" s="7"/>
      <c r="AL197" s="7"/>
      <c r="AM197" s="7"/>
      <c r="AN197" s="7"/>
      <c r="AO197" s="7"/>
      <c r="AP197" s="7"/>
      <c r="AQ197" s="7"/>
      <c r="AR197" s="7"/>
      <c r="AS197" s="7"/>
      <c r="AT197" s="7"/>
      <c r="AU197" s="7"/>
      <c r="AV197" s="7"/>
    </row>
    <row r="198" spans="27:48" ht="13.9" customHeight="1">
      <c r="AJ198" s="7"/>
      <c r="AK198" s="7"/>
      <c r="AL198" s="7"/>
      <c r="AM198" s="7"/>
      <c r="AN198" s="7"/>
      <c r="AO198" s="7"/>
      <c r="AP198" s="7"/>
      <c r="AQ198" s="7"/>
      <c r="AR198" s="7"/>
      <c r="AS198" s="7"/>
      <c r="AT198" s="7"/>
      <c r="AU198" s="7"/>
      <c r="AV198" s="7"/>
    </row>
    <row r="199" spans="27:48" ht="13.9" customHeight="1">
      <c r="AE199" s="7"/>
      <c r="AF199" s="7"/>
      <c r="AG199" s="7"/>
      <c r="AH199" s="7"/>
      <c r="AI199" s="7"/>
      <c r="AJ199" s="7"/>
      <c r="AK199" s="7"/>
      <c r="AL199" s="7"/>
      <c r="AM199" s="7"/>
      <c r="AN199" s="7"/>
      <c r="AO199" s="7"/>
      <c r="AP199" s="7"/>
      <c r="AQ199" s="7"/>
      <c r="AR199" s="7"/>
      <c r="AS199" s="7"/>
      <c r="AT199" s="7"/>
      <c r="AU199" s="7"/>
      <c r="AV199" s="7"/>
    </row>
    <row r="200" spans="27:48" ht="13.9" customHeight="1">
      <c r="AE200" s="7"/>
      <c r="AF200" s="17"/>
      <c r="AG200" s="7"/>
      <c r="AH200" s="7"/>
      <c r="AI200" s="7"/>
      <c r="AJ200" s="7"/>
      <c r="AK200" s="7"/>
      <c r="AL200" s="7"/>
      <c r="AM200" s="7"/>
      <c r="AN200" s="7"/>
      <c r="AO200" s="7"/>
      <c r="AP200" s="7"/>
      <c r="AQ200" s="7"/>
      <c r="AR200" s="7"/>
      <c r="AS200" s="7"/>
      <c r="AT200" s="7"/>
      <c r="AU200" s="7"/>
      <c r="AV200" s="7"/>
    </row>
    <row r="201" spans="27:48" ht="13.9" customHeight="1">
      <c r="AE201" s="7"/>
      <c r="AF201" s="17"/>
      <c r="AG201" s="7"/>
      <c r="AH201" s="7"/>
      <c r="AI201" s="7"/>
      <c r="AJ201" s="7"/>
      <c r="AK201" s="7"/>
      <c r="AL201" s="7"/>
      <c r="AM201" s="7"/>
      <c r="AN201" s="7"/>
      <c r="AO201" s="7"/>
      <c r="AP201" s="7"/>
      <c r="AQ201" s="7"/>
      <c r="AR201" s="7"/>
      <c r="AS201" s="7"/>
      <c r="AT201" s="7"/>
      <c r="AU201" s="7"/>
      <c r="AV201" s="7"/>
    </row>
    <row r="202" spans="27:48" ht="13.9" customHeight="1">
      <c r="AE202" s="7"/>
      <c r="AF202" s="17"/>
      <c r="AG202" s="7"/>
      <c r="AH202" s="7"/>
      <c r="AI202" s="7"/>
      <c r="AJ202" s="7"/>
      <c r="AK202" s="7"/>
      <c r="AL202" s="7"/>
      <c r="AM202" s="7"/>
      <c r="AN202" s="7"/>
      <c r="AO202" s="7"/>
      <c r="AP202" s="7"/>
      <c r="AQ202" s="7"/>
      <c r="AR202" s="7"/>
      <c r="AS202" s="7"/>
      <c r="AT202" s="7"/>
      <c r="AU202" s="7"/>
      <c r="AV202" s="7"/>
    </row>
    <row r="203" spans="27:48" ht="13.9" customHeight="1">
      <c r="AE203" s="7"/>
      <c r="AF203" s="17"/>
      <c r="AG203" s="7"/>
      <c r="AH203" s="7"/>
      <c r="AI203" s="7"/>
      <c r="AJ203" s="7"/>
      <c r="AK203" s="7"/>
      <c r="AL203" s="7"/>
      <c r="AM203" s="7"/>
      <c r="AN203" s="7"/>
      <c r="AO203" s="7"/>
      <c r="AP203" s="7"/>
      <c r="AQ203" s="7"/>
      <c r="AR203" s="7"/>
      <c r="AS203" s="7"/>
      <c r="AT203" s="7"/>
      <c r="AU203" s="7"/>
      <c r="AV203" s="7"/>
    </row>
    <row r="204" spans="27:48" ht="13.9" customHeight="1">
      <c r="AE204" s="7"/>
      <c r="AF204" s="17"/>
      <c r="AG204" s="7"/>
      <c r="AH204" s="7"/>
      <c r="AI204" s="7"/>
      <c r="AJ204" s="7"/>
      <c r="AK204" s="7"/>
      <c r="AL204" s="7"/>
      <c r="AM204" s="7"/>
      <c r="AN204" s="7"/>
      <c r="AO204" s="7"/>
      <c r="AP204" s="7"/>
      <c r="AQ204" s="7"/>
      <c r="AR204" s="7"/>
      <c r="AS204" s="7"/>
      <c r="AT204" s="7"/>
      <c r="AU204" s="7"/>
      <c r="AV204" s="7"/>
    </row>
    <row r="205" spans="27:48" ht="13.9" customHeight="1">
      <c r="AB205" s="7"/>
      <c r="AC205" s="7"/>
      <c r="AD205" s="7"/>
      <c r="AE205" s="7"/>
      <c r="AF205" s="17"/>
      <c r="AG205" s="7"/>
      <c r="AH205" s="7"/>
      <c r="AI205" s="7"/>
      <c r="AJ205" s="7"/>
      <c r="AK205" s="7"/>
      <c r="AL205" s="7"/>
      <c r="AM205" s="7"/>
      <c r="AN205" s="7"/>
      <c r="AO205" s="7"/>
      <c r="AP205" s="7"/>
      <c r="AQ205" s="7"/>
      <c r="AR205" s="7"/>
      <c r="AS205" s="7"/>
      <c r="AT205" s="7"/>
      <c r="AU205" s="7"/>
      <c r="AV205" s="7"/>
    </row>
    <row r="206" spans="27:48" ht="13.9" customHeight="1">
      <c r="AB206" s="7"/>
      <c r="AC206" s="7"/>
      <c r="AD206" s="7"/>
      <c r="AE206" s="7"/>
      <c r="AF206" s="17"/>
      <c r="AG206" s="7"/>
      <c r="AH206" s="7"/>
      <c r="AI206" s="7"/>
      <c r="AJ206" s="7"/>
      <c r="AK206" s="7"/>
      <c r="AL206" s="7"/>
      <c r="AM206" s="7"/>
      <c r="AN206" s="7"/>
      <c r="AO206" s="7"/>
      <c r="AP206" s="7"/>
      <c r="AQ206" s="7"/>
      <c r="AR206" s="7"/>
      <c r="AS206" s="7"/>
      <c r="AT206" s="7"/>
      <c r="AU206" s="7"/>
      <c r="AV206" s="7"/>
    </row>
    <row r="207" spans="27:48" ht="13.9" customHeight="1">
      <c r="AD207" s="7"/>
      <c r="AE207" s="7"/>
      <c r="AF207" s="7"/>
      <c r="AG207" s="7"/>
      <c r="AH207" s="7"/>
      <c r="AI207" s="7"/>
      <c r="AJ207" s="7"/>
      <c r="AK207" s="7"/>
      <c r="AL207" s="7"/>
      <c r="AM207" s="7"/>
      <c r="AN207" s="7"/>
      <c r="AO207" s="7"/>
      <c r="AP207" s="7"/>
      <c r="AQ207" s="7"/>
      <c r="AR207" s="7"/>
      <c r="AS207" s="7"/>
      <c r="AT207" s="7"/>
      <c r="AU207" s="7"/>
      <c r="AV207" s="7"/>
    </row>
    <row r="208" spans="27:48" ht="13.9" customHeight="1">
      <c r="AD208" s="7"/>
      <c r="AE208" s="7"/>
      <c r="AF208" s="7"/>
      <c r="AG208" s="7"/>
      <c r="AH208" s="7"/>
      <c r="AI208" s="7"/>
      <c r="AJ208" s="7"/>
      <c r="AK208" s="7"/>
      <c r="AL208" s="7"/>
      <c r="AM208" s="7"/>
      <c r="AN208" s="7"/>
      <c r="AO208" s="7"/>
      <c r="AP208" s="7"/>
      <c r="AQ208" s="7"/>
      <c r="AR208" s="7"/>
      <c r="AS208" s="7"/>
      <c r="AT208" s="7"/>
      <c r="AU208" s="7"/>
      <c r="AV208" s="7"/>
    </row>
    <row r="209" spans="2:48" ht="13.9" customHeight="1">
      <c r="AA209" s="7"/>
      <c r="AD209" s="7"/>
      <c r="AE209" s="7"/>
      <c r="AF209" s="7"/>
      <c r="AG209" s="7"/>
      <c r="AH209" s="7"/>
      <c r="AI209" s="7"/>
      <c r="AJ209" s="7"/>
      <c r="AK209" s="7"/>
      <c r="AL209" s="7"/>
      <c r="AM209" s="7"/>
      <c r="AN209" s="7"/>
      <c r="AO209" s="7"/>
      <c r="AP209" s="7"/>
      <c r="AQ209" s="7"/>
      <c r="AR209" s="7"/>
      <c r="AS209" s="7"/>
      <c r="AT209" s="7"/>
      <c r="AU209" s="7"/>
      <c r="AV209" s="7"/>
    </row>
    <row r="210" spans="2:48" ht="13.9" customHeight="1">
      <c r="AD210" s="7"/>
      <c r="AE210" s="7"/>
      <c r="AF210" s="7"/>
      <c r="AG210" s="7"/>
      <c r="AH210" s="7"/>
      <c r="AI210" s="7"/>
      <c r="AJ210" s="7"/>
      <c r="AK210" s="7"/>
      <c r="AL210" s="7"/>
      <c r="AM210" s="7"/>
      <c r="AN210" s="7"/>
      <c r="AO210" s="7"/>
      <c r="AP210" s="7"/>
      <c r="AQ210" s="7"/>
      <c r="AR210" s="7"/>
      <c r="AS210" s="7"/>
      <c r="AT210" s="7"/>
      <c r="AU210" s="7"/>
      <c r="AV210" s="7"/>
    </row>
    <row r="211" spans="2:48" ht="20.25" customHeight="1">
      <c r="B211" s="286" t="s">
        <v>2764</v>
      </c>
      <c r="C211" s="285"/>
      <c r="D211" s="285"/>
      <c r="E211" s="285"/>
      <c r="F211" s="285"/>
      <c r="G211" s="285"/>
      <c r="H211" s="285"/>
      <c r="I211" s="285"/>
      <c r="AD211" s="7"/>
      <c r="AE211" s="7"/>
      <c r="AF211" s="7"/>
      <c r="AG211" s="7"/>
      <c r="AH211" s="7"/>
      <c r="AI211" s="7"/>
      <c r="AJ211" s="7"/>
      <c r="AK211" s="7"/>
      <c r="AL211" s="7"/>
      <c r="AM211" s="7"/>
      <c r="AN211" s="7"/>
      <c r="AO211" s="7"/>
      <c r="AP211" s="7"/>
      <c r="AQ211" s="7"/>
      <c r="AR211" s="7"/>
      <c r="AS211" s="7"/>
      <c r="AT211" s="7"/>
      <c r="AU211" s="7"/>
      <c r="AV211" s="7"/>
    </row>
    <row r="212" spans="2:48" ht="20.25" customHeight="1">
      <c r="B212" s="285"/>
      <c r="C212" s="285"/>
      <c r="D212" s="285"/>
      <c r="E212" s="285"/>
      <c r="F212" s="285"/>
      <c r="G212" s="285"/>
      <c r="H212" s="285"/>
      <c r="I212" s="285"/>
      <c r="AD212" s="7"/>
      <c r="AE212" s="7"/>
      <c r="AF212" s="7"/>
      <c r="AG212" s="7"/>
      <c r="AH212" s="7"/>
      <c r="AI212" s="7"/>
      <c r="AJ212" s="7"/>
      <c r="AK212" s="7"/>
      <c r="AL212" s="7"/>
      <c r="AM212" s="7"/>
      <c r="AN212" s="7"/>
      <c r="AO212" s="7"/>
      <c r="AP212" s="7"/>
      <c r="AQ212" s="7"/>
      <c r="AR212" s="7"/>
      <c r="AS212" s="7"/>
      <c r="AT212" s="7"/>
      <c r="AU212" s="7"/>
      <c r="AV212" s="90"/>
    </row>
    <row r="213" spans="2:48" ht="13.9" customHeight="1">
      <c r="AD213" s="7"/>
      <c r="AE213" s="7"/>
      <c r="AF213" s="7"/>
      <c r="AG213" s="7"/>
      <c r="AH213" s="7"/>
      <c r="AI213" s="7"/>
      <c r="AJ213" s="7"/>
      <c r="AK213" s="7"/>
      <c r="AL213" s="7"/>
      <c r="AM213" s="7"/>
      <c r="AN213" s="7"/>
      <c r="AO213" s="7"/>
      <c r="AP213" s="7"/>
      <c r="AQ213" s="7"/>
      <c r="AR213" s="7"/>
      <c r="AS213" s="7"/>
      <c r="AT213" s="7"/>
      <c r="AU213" s="7"/>
      <c r="AV213" s="7"/>
    </row>
    <row r="214" spans="2:48" ht="13.9" customHeight="1">
      <c r="AB214" s="91"/>
      <c r="AC214" s="94"/>
      <c r="AD214" s="91"/>
      <c r="AE214" s="7"/>
      <c r="AF214" s="17"/>
      <c r="AG214" s="7"/>
      <c r="AH214" s="7"/>
      <c r="AI214" s="7"/>
      <c r="AJ214" s="7"/>
      <c r="AK214" s="7"/>
      <c r="AL214" s="7"/>
      <c r="AM214" s="7"/>
      <c r="AN214" s="7"/>
      <c r="AO214" s="7"/>
      <c r="AP214" s="7"/>
      <c r="AQ214" s="7"/>
      <c r="AR214" s="7"/>
      <c r="AS214" s="7"/>
      <c r="AT214" s="7"/>
      <c r="AU214" s="7"/>
      <c r="AV214" s="145"/>
    </row>
    <row r="215" spans="2:48" ht="13.9" customHeight="1">
      <c r="AB215" s="91"/>
      <c r="AC215" s="94"/>
      <c r="AD215" s="91"/>
      <c r="AE215" s="7"/>
      <c r="AF215" s="17"/>
      <c r="AG215" s="7"/>
      <c r="AH215" s="7"/>
      <c r="AI215" s="7"/>
      <c r="AJ215" s="7"/>
      <c r="AK215" s="7"/>
      <c r="AL215" s="7"/>
      <c r="AM215" s="7"/>
      <c r="AN215" s="7"/>
      <c r="AO215" s="7"/>
      <c r="AP215" s="7"/>
      <c r="AQ215" s="7"/>
      <c r="AR215" s="7"/>
      <c r="AS215" s="7"/>
      <c r="AT215" s="7"/>
      <c r="AU215" s="7"/>
      <c r="AV215" s="145"/>
    </row>
    <row r="216" spans="2:48" ht="13.9" customHeight="1">
      <c r="AB216" s="91"/>
      <c r="AC216" s="94"/>
      <c r="AD216" s="91"/>
      <c r="AE216" s="7"/>
      <c r="AF216" s="17"/>
      <c r="AG216" s="7"/>
      <c r="AH216" s="7"/>
      <c r="AI216" s="7"/>
      <c r="AJ216" s="7"/>
      <c r="AK216" s="7"/>
      <c r="AL216" s="7"/>
      <c r="AM216" s="7"/>
      <c r="AN216" s="7"/>
      <c r="AO216" s="7"/>
      <c r="AP216" s="7"/>
      <c r="AQ216" s="7"/>
      <c r="AR216" s="7"/>
      <c r="AS216" s="7"/>
      <c r="AT216" s="7"/>
      <c r="AU216" s="7"/>
      <c r="AV216" s="145"/>
    </row>
    <row r="217" spans="2:48" ht="13.9" customHeight="1">
      <c r="AB217" s="91"/>
      <c r="AC217" s="94"/>
      <c r="AD217" s="91"/>
      <c r="AE217" s="7"/>
      <c r="AF217" s="17"/>
      <c r="AG217" s="7"/>
      <c r="AH217" s="7"/>
      <c r="AI217" s="7"/>
      <c r="AJ217" s="7"/>
      <c r="AK217" s="7"/>
      <c r="AL217" s="7"/>
      <c r="AM217" s="7"/>
      <c r="AN217" s="7"/>
      <c r="AO217" s="7"/>
      <c r="AP217" s="7"/>
      <c r="AQ217" s="7"/>
      <c r="AR217" s="7"/>
      <c r="AS217" s="7"/>
      <c r="AT217" s="7"/>
      <c r="AU217" s="7"/>
      <c r="AV217" s="145"/>
    </row>
    <row r="218" spans="2:48" ht="13.9" customHeight="1">
      <c r="AB218" s="91"/>
      <c r="AC218" s="94"/>
      <c r="AD218" s="91"/>
      <c r="AE218" s="7"/>
      <c r="AF218" s="17"/>
      <c r="AG218" s="7"/>
      <c r="AH218" s="7"/>
      <c r="AI218" s="7"/>
      <c r="AJ218" s="7"/>
      <c r="AK218" s="7"/>
      <c r="AL218" s="7"/>
      <c r="AM218" s="7"/>
      <c r="AN218" s="7"/>
      <c r="AO218" s="7"/>
      <c r="AP218" s="7"/>
      <c r="AQ218" s="7"/>
      <c r="AR218" s="7"/>
      <c r="AS218" s="7"/>
      <c r="AT218" s="7"/>
      <c r="AU218" s="7"/>
      <c r="AV218" s="145"/>
    </row>
    <row r="219" spans="2:48" ht="13.9" customHeight="1">
      <c r="AB219" s="91"/>
      <c r="AC219" s="94"/>
      <c r="AD219" s="91"/>
      <c r="AE219" s="7"/>
      <c r="AF219" s="17"/>
      <c r="AG219" s="7"/>
      <c r="AH219" s="7"/>
      <c r="AI219" s="7"/>
      <c r="AJ219" s="7"/>
      <c r="AK219" s="7"/>
      <c r="AL219" s="7"/>
      <c r="AM219" s="7"/>
      <c r="AN219" s="7"/>
      <c r="AO219" s="7"/>
      <c r="AP219" s="7"/>
      <c r="AQ219" s="7"/>
      <c r="AR219" s="7"/>
      <c r="AS219" s="7"/>
      <c r="AT219" s="7"/>
      <c r="AU219" s="7"/>
      <c r="AV219" s="145"/>
    </row>
    <row r="220" spans="2:48" ht="13.9" customHeight="1">
      <c r="AB220" s="91"/>
      <c r="AC220" s="94"/>
      <c r="AD220" s="91"/>
      <c r="AE220" s="7"/>
      <c r="AF220" s="17"/>
      <c r="AG220" s="7"/>
      <c r="AH220" s="7"/>
      <c r="AI220" s="7"/>
      <c r="AJ220" s="7"/>
      <c r="AK220" s="7"/>
      <c r="AL220" s="7"/>
      <c r="AM220" s="7"/>
      <c r="AN220" s="7"/>
      <c r="AO220" s="7"/>
      <c r="AP220" s="7"/>
      <c r="AQ220" s="7"/>
      <c r="AR220" s="7"/>
      <c r="AS220" s="7"/>
      <c r="AT220" s="7"/>
      <c r="AU220" s="7"/>
      <c r="AV220" s="145"/>
    </row>
    <row r="221" spans="2:48" ht="13.9" customHeight="1">
      <c r="AB221" s="91"/>
      <c r="AC221" s="94"/>
      <c r="AD221" s="91"/>
      <c r="AE221" s="7"/>
      <c r="AF221" s="17"/>
      <c r="AG221" s="7"/>
      <c r="AH221" s="7"/>
      <c r="AI221" s="7"/>
      <c r="AJ221" s="7"/>
      <c r="AK221" s="7"/>
      <c r="AL221" s="7"/>
      <c r="AM221" s="7"/>
      <c r="AN221" s="7"/>
      <c r="AO221" s="7"/>
      <c r="AP221" s="7"/>
      <c r="AQ221" s="7"/>
      <c r="AR221" s="7"/>
      <c r="AS221" s="7"/>
      <c r="AT221" s="7"/>
      <c r="AU221" s="7"/>
      <c r="AV221" s="145"/>
    </row>
    <row r="222" spans="2:48" ht="13.9" customHeight="1">
      <c r="AB222" s="91"/>
      <c r="AC222" s="91"/>
      <c r="AD222" s="91"/>
      <c r="AE222" s="7"/>
      <c r="AF222" s="17"/>
      <c r="AG222" s="7"/>
      <c r="AH222" s="7"/>
      <c r="AI222" s="7"/>
      <c r="AJ222" s="7"/>
      <c r="AK222" s="7"/>
      <c r="AL222" s="7"/>
      <c r="AM222" s="7"/>
      <c r="AN222" s="7"/>
      <c r="AO222" s="7"/>
      <c r="AP222" s="7"/>
      <c r="AQ222" s="7"/>
      <c r="AR222" s="7"/>
      <c r="AS222" s="7"/>
      <c r="AT222" s="7"/>
      <c r="AU222" s="7"/>
      <c r="AV222" s="145"/>
    </row>
    <row r="223" spans="2:48" ht="13.9" customHeight="1">
      <c r="AA223" s="7"/>
      <c r="AB223" s="90"/>
      <c r="AC223" s="92"/>
      <c r="AD223" s="90"/>
      <c r="AE223" s="7"/>
      <c r="AF223" s="92"/>
      <c r="AG223" s="90"/>
      <c r="AH223" s="90"/>
      <c r="AI223" s="7"/>
      <c r="AJ223" s="7"/>
      <c r="AK223" s="7"/>
      <c r="AL223" s="7"/>
      <c r="AM223" s="7"/>
      <c r="AN223" s="7"/>
      <c r="AO223" s="7"/>
      <c r="AP223" s="7"/>
      <c r="AQ223" s="7"/>
      <c r="AR223" s="7"/>
      <c r="AS223" s="7"/>
      <c r="AT223" s="7"/>
      <c r="AU223" s="7"/>
      <c r="AV223" s="145"/>
    </row>
    <row r="224" spans="2:48" ht="13.9" customHeight="1">
      <c r="AA224" s="7"/>
      <c r="AB224" s="90"/>
      <c r="AC224" s="90"/>
      <c r="AD224" s="90"/>
      <c r="AE224" s="7"/>
      <c r="AF224" s="90"/>
      <c r="AG224" s="7"/>
      <c r="AH224" s="7"/>
      <c r="AI224" s="7"/>
      <c r="AJ224" s="7"/>
      <c r="AK224" s="7"/>
      <c r="AL224" s="7"/>
      <c r="AM224" s="7"/>
      <c r="AN224" s="7"/>
      <c r="AO224" s="7"/>
      <c r="AP224" s="7"/>
      <c r="AQ224" s="7"/>
      <c r="AR224" s="7"/>
      <c r="AS224" s="7"/>
      <c r="AT224" s="7"/>
      <c r="AU224" s="7"/>
      <c r="AV224" s="145"/>
    </row>
    <row r="225" spans="27:48" ht="13.9" customHeight="1">
      <c r="AB225" s="90"/>
      <c r="AC225" s="92"/>
      <c r="AD225" s="93"/>
      <c r="AE225" s="7"/>
      <c r="AF225" s="92"/>
      <c r="AG225" s="93"/>
      <c r="AH225" s="93"/>
      <c r="AI225" s="7"/>
      <c r="AJ225" s="7"/>
      <c r="AK225" s="7"/>
      <c r="AL225" s="7"/>
      <c r="AM225" s="7"/>
      <c r="AN225" s="7"/>
      <c r="AO225" s="7"/>
      <c r="AP225" s="7"/>
      <c r="AQ225" s="7"/>
      <c r="AR225" s="7"/>
      <c r="AS225" s="7"/>
      <c r="AT225" s="7"/>
      <c r="AU225" s="7"/>
      <c r="AV225" s="145"/>
    </row>
    <row r="226" spans="27:48" ht="13.9" customHeight="1">
      <c r="AB226" s="90"/>
      <c r="AC226" s="92"/>
      <c r="AD226" s="93"/>
      <c r="AE226" s="7"/>
      <c r="AF226" s="92"/>
      <c r="AG226" s="93"/>
      <c r="AH226" s="93"/>
      <c r="AI226" s="7"/>
      <c r="AJ226" s="7"/>
      <c r="AK226" s="7"/>
      <c r="AL226" s="7"/>
      <c r="AM226" s="7"/>
      <c r="AN226" s="7"/>
      <c r="AO226" s="7"/>
      <c r="AP226" s="7"/>
      <c r="AQ226" s="7"/>
      <c r="AR226" s="7"/>
      <c r="AS226" s="7"/>
      <c r="AT226" s="7"/>
      <c r="AU226" s="7"/>
      <c r="AV226" s="7"/>
    </row>
    <row r="227" spans="27:48" ht="13.9" customHeight="1">
      <c r="AB227" s="90"/>
      <c r="AC227" s="92"/>
      <c r="AD227" s="93"/>
      <c r="AE227" s="7"/>
      <c r="AF227" s="92"/>
      <c r="AG227" s="93"/>
      <c r="AH227" s="93"/>
      <c r="AI227" s="7"/>
      <c r="AJ227" s="7"/>
      <c r="AK227" s="7"/>
      <c r="AL227" s="7"/>
      <c r="AM227" s="7"/>
      <c r="AN227" s="7"/>
      <c r="AO227" s="7"/>
      <c r="AP227" s="7"/>
      <c r="AQ227" s="7"/>
      <c r="AR227" s="7"/>
      <c r="AS227" s="7"/>
      <c r="AT227" s="7"/>
      <c r="AU227" s="7"/>
      <c r="AV227" s="7"/>
    </row>
    <row r="228" spans="27:48" ht="13.9" customHeight="1">
      <c r="AB228" s="90"/>
      <c r="AC228" s="92"/>
      <c r="AD228" s="93"/>
      <c r="AE228" s="7"/>
      <c r="AF228" s="92"/>
      <c r="AG228" s="93"/>
      <c r="AH228" s="93"/>
      <c r="AI228" s="7"/>
      <c r="AJ228" s="7"/>
      <c r="AK228" s="7"/>
      <c r="AL228" s="7"/>
      <c r="AM228" s="7"/>
      <c r="AN228" s="7"/>
      <c r="AO228" s="7"/>
      <c r="AP228" s="7"/>
      <c r="AQ228" s="7"/>
      <c r="AR228" s="7"/>
      <c r="AS228" s="7"/>
      <c r="AT228" s="7"/>
      <c r="AU228" s="7"/>
      <c r="AV228" s="7"/>
    </row>
    <row r="229" spans="27:48" ht="13.9" customHeight="1">
      <c r="AB229" s="90"/>
      <c r="AC229" s="92"/>
      <c r="AD229" s="93"/>
      <c r="AE229" s="7"/>
      <c r="AF229" s="92"/>
      <c r="AG229" s="93"/>
      <c r="AH229" s="93"/>
      <c r="AI229" s="7"/>
      <c r="AJ229" s="7"/>
      <c r="AK229" s="7"/>
      <c r="AL229" s="7"/>
      <c r="AM229" s="7"/>
      <c r="AN229" s="7"/>
      <c r="AO229" s="7"/>
      <c r="AP229" s="7"/>
      <c r="AQ229" s="7"/>
      <c r="AR229" s="7"/>
      <c r="AS229" s="7"/>
      <c r="AT229" s="7"/>
      <c r="AU229" s="7"/>
      <c r="AV229" s="7"/>
    </row>
    <row r="230" spans="27:48" ht="13.9" customHeight="1">
      <c r="AB230" s="7"/>
      <c r="AC230" s="7"/>
      <c r="AD230" s="7"/>
      <c r="AE230" s="7"/>
      <c r="AF230" s="7"/>
      <c r="AG230" s="7"/>
      <c r="AH230" s="7"/>
      <c r="AI230" s="7"/>
      <c r="AJ230" s="7"/>
      <c r="AK230" s="7"/>
      <c r="AL230" s="7"/>
      <c r="AM230" s="7"/>
      <c r="AN230" s="7"/>
      <c r="AO230" s="7"/>
      <c r="AP230" s="7"/>
      <c r="AQ230" s="7"/>
      <c r="AR230" s="7"/>
      <c r="AS230" s="7"/>
      <c r="AT230" s="7"/>
      <c r="AU230" s="7"/>
      <c r="AV230" s="7"/>
    </row>
    <row r="231" spans="27:48" ht="13.9" customHeight="1">
      <c r="AB231" s="7"/>
      <c r="AC231" s="7"/>
      <c r="AD231" s="7"/>
      <c r="AE231" s="7"/>
      <c r="AF231" s="7"/>
      <c r="AG231" s="7"/>
      <c r="AH231" s="7"/>
      <c r="AI231" s="7"/>
      <c r="AJ231" s="7"/>
      <c r="AK231" s="7"/>
      <c r="AL231" s="90"/>
      <c r="AM231" s="90"/>
      <c r="AN231" s="90"/>
      <c r="AO231" s="90"/>
      <c r="AP231" s="90"/>
      <c r="AQ231" s="90"/>
      <c r="AR231" s="90"/>
      <c r="AS231" s="90"/>
      <c r="AT231" s="90"/>
      <c r="AU231" s="90"/>
      <c r="AV231" s="7"/>
    </row>
    <row r="232" spans="27:48" ht="13.9" customHeight="1">
      <c r="AB232" s="7"/>
      <c r="AC232" s="7"/>
      <c r="AD232" s="7"/>
      <c r="AE232" s="7"/>
      <c r="AF232" s="7"/>
      <c r="AG232" s="7"/>
      <c r="AH232" s="7"/>
      <c r="AI232" s="7"/>
      <c r="AJ232" s="7"/>
      <c r="AK232" s="7"/>
      <c r="AL232" s="7"/>
      <c r="AM232" s="7"/>
      <c r="AN232" s="7"/>
      <c r="AO232" s="7"/>
      <c r="AP232" s="7"/>
      <c r="AQ232" s="7"/>
      <c r="AR232" s="7"/>
      <c r="AS232" s="7"/>
      <c r="AT232" s="7"/>
      <c r="AU232" s="7"/>
      <c r="AV232" s="7"/>
    </row>
    <row r="233" spans="27:48" ht="13.9" customHeight="1">
      <c r="AA233" s="7"/>
      <c r="AE233" s="168"/>
      <c r="AF233" s="7"/>
      <c r="AG233" s="7"/>
      <c r="AH233" s="7"/>
      <c r="AI233" s="7"/>
      <c r="AJ233" s="7"/>
      <c r="AK233" s="7"/>
      <c r="AL233" s="93"/>
      <c r="AM233" s="93"/>
      <c r="AN233" s="93"/>
      <c r="AO233" s="93"/>
      <c r="AP233" s="93"/>
      <c r="AQ233" s="93"/>
      <c r="AR233" s="93"/>
      <c r="AS233" s="93"/>
      <c r="AT233" s="93"/>
      <c r="AU233" s="93"/>
      <c r="AV233" s="7"/>
    </row>
    <row r="234" spans="27:48" ht="13.9" customHeight="1">
      <c r="AA234" s="7"/>
      <c r="AE234" s="7"/>
      <c r="AF234" s="7"/>
      <c r="AG234" s="7"/>
      <c r="AH234" s="7"/>
      <c r="AI234" s="7"/>
      <c r="AJ234" s="7"/>
      <c r="AK234" s="7"/>
      <c r="AL234" s="93"/>
      <c r="AM234" s="93"/>
      <c r="AN234" s="93"/>
      <c r="AO234" s="93"/>
      <c r="AP234" s="93"/>
      <c r="AQ234" s="93"/>
      <c r="AR234" s="93"/>
      <c r="AS234" s="93"/>
      <c r="AT234" s="93"/>
      <c r="AU234" s="93"/>
      <c r="AV234" s="7"/>
    </row>
    <row r="235" spans="27:48" ht="13.9" customHeight="1">
      <c r="AE235" s="7"/>
      <c r="AF235" s="7"/>
      <c r="AG235" s="7"/>
      <c r="AH235" s="7"/>
      <c r="AI235" s="7"/>
      <c r="AJ235" s="7"/>
      <c r="AK235" s="7"/>
      <c r="AL235" s="93"/>
      <c r="AM235" s="93"/>
      <c r="AN235" s="93"/>
      <c r="AO235" s="93"/>
      <c r="AP235" s="93"/>
      <c r="AQ235" s="93"/>
      <c r="AR235" s="93"/>
      <c r="AS235" s="93"/>
      <c r="AT235" s="93"/>
      <c r="AU235" s="93"/>
      <c r="AV235" s="7"/>
    </row>
    <row r="236" spans="27:48" ht="13.9" customHeight="1">
      <c r="AE236" s="7"/>
      <c r="AF236" s="7"/>
      <c r="AG236" s="7"/>
      <c r="AH236" s="7"/>
      <c r="AI236" s="7"/>
      <c r="AJ236" s="7"/>
      <c r="AK236" s="7"/>
      <c r="AL236" s="93"/>
      <c r="AM236" s="93"/>
      <c r="AN236" s="93"/>
      <c r="AO236" s="93"/>
      <c r="AP236" s="93"/>
      <c r="AQ236" s="93"/>
      <c r="AR236" s="93"/>
      <c r="AS236" s="93"/>
      <c r="AT236" s="93"/>
      <c r="AU236" s="93"/>
      <c r="AV236" s="7"/>
    </row>
    <row r="237" spans="27:48" ht="13.9" customHeight="1">
      <c r="AE237" s="7"/>
      <c r="AF237" s="7"/>
      <c r="AG237" s="7"/>
      <c r="AH237" s="7"/>
      <c r="AI237" s="7"/>
      <c r="AJ237" s="7"/>
      <c r="AK237" s="7"/>
      <c r="AL237" s="93"/>
      <c r="AM237" s="93"/>
      <c r="AN237" s="93"/>
      <c r="AO237" s="93"/>
      <c r="AP237" s="93"/>
      <c r="AQ237" s="93"/>
      <c r="AR237" s="93"/>
      <c r="AS237" s="93"/>
      <c r="AT237" s="93"/>
      <c r="AU237" s="93"/>
      <c r="AV237" s="7"/>
    </row>
    <row r="238" spans="27:48" ht="13.9" customHeight="1">
      <c r="AE238" s="7"/>
      <c r="AF238" s="7"/>
      <c r="AG238" s="7"/>
      <c r="AH238" s="7"/>
      <c r="AI238" s="7"/>
      <c r="AJ238" s="7"/>
      <c r="AK238" s="7"/>
      <c r="AL238" s="7"/>
      <c r="AM238" s="7"/>
      <c r="AN238" s="7"/>
      <c r="AO238" s="7"/>
      <c r="AP238" s="7"/>
      <c r="AQ238" s="7"/>
      <c r="AR238" s="7"/>
      <c r="AS238" s="7"/>
      <c r="AT238" s="7"/>
      <c r="AU238" s="7"/>
      <c r="AV238" s="7"/>
    </row>
    <row r="239" spans="27:48" ht="13.9" customHeight="1">
      <c r="AE239" s="7"/>
      <c r="AF239" s="7"/>
      <c r="AG239" s="7"/>
      <c r="AH239" s="7"/>
      <c r="AI239" s="7"/>
      <c r="AJ239" s="7"/>
      <c r="AK239" s="7"/>
      <c r="AL239" s="7"/>
      <c r="AM239" s="7"/>
      <c r="AN239" s="7"/>
      <c r="AO239" s="7"/>
      <c r="AP239" s="7"/>
      <c r="AQ239" s="7"/>
      <c r="AR239" s="7"/>
      <c r="AS239" s="7"/>
      <c r="AT239" s="7"/>
      <c r="AU239" s="7"/>
      <c r="AV239" s="7"/>
    </row>
    <row r="240" spans="27:48" ht="13.9" customHeight="1">
      <c r="AE240" s="7"/>
      <c r="AF240" s="7"/>
      <c r="AG240" s="7"/>
      <c r="AH240" s="7"/>
      <c r="AI240" s="7"/>
      <c r="AJ240" s="7"/>
      <c r="AK240" s="7"/>
      <c r="AL240" s="7"/>
      <c r="AM240" s="7"/>
      <c r="AN240" s="7"/>
      <c r="AO240" s="7"/>
      <c r="AP240" s="7"/>
      <c r="AQ240" s="7"/>
      <c r="AR240" s="7"/>
      <c r="AS240" s="7"/>
      <c r="AT240" s="7"/>
      <c r="AU240" s="7"/>
      <c r="AV240" s="7"/>
    </row>
    <row r="241" spans="31:48" ht="13.9" customHeight="1">
      <c r="AE241" s="7"/>
      <c r="AF241" s="7"/>
      <c r="AG241" s="7"/>
      <c r="AH241" s="7"/>
      <c r="AI241" s="7"/>
      <c r="AJ241" s="7"/>
      <c r="AK241" s="7"/>
      <c r="AL241" s="7"/>
      <c r="AM241" s="7"/>
      <c r="AN241" s="7"/>
      <c r="AO241" s="7"/>
      <c r="AP241" s="7"/>
      <c r="AQ241" s="7"/>
      <c r="AR241" s="7"/>
      <c r="AS241" s="7"/>
      <c r="AT241" s="7"/>
      <c r="AU241" s="7"/>
      <c r="AV241" s="7"/>
    </row>
    <row r="242" spans="31:48" ht="13.9" customHeight="1">
      <c r="AE242" s="7"/>
      <c r="AF242" s="7"/>
      <c r="AG242" s="7"/>
      <c r="AH242" s="7"/>
      <c r="AI242" s="7"/>
      <c r="AJ242" s="7"/>
      <c r="AK242" s="7"/>
      <c r="AL242" s="7"/>
      <c r="AM242" s="7"/>
      <c r="AN242" s="7"/>
      <c r="AO242" s="7"/>
      <c r="AP242" s="7"/>
      <c r="AQ242" s="7"/>
      <c r="AR242" s="7"/>
      <c r="AS242" s="7"/>
      <c r="AT242" s="7"/>
      <c r="AU242" s="7"/>
      <c r="AV242" s="7"/>
    </row>
    <row r="243" spans="31:48" ht="13.9" customHeight="1">
      <c r="AE243" s="7"/>
      <c r="AF243" s="7"/>
      <c r="AG243" s="7"/>
      <c r="AH243" s="7"/>
      <c r="AI243" s="7"/>
      <c r="AJ243" s="7"/>
      <c r="AK243" s="7"/>
      <c r="AL243" s="7"/>
      <c r="AM243" s="7"/>
      <c r="AN243" s="7"/>
      <c r="AO243" s="7"/>
      <c r="AP243" s="7"/>
      <c r="AQ243" s="7"/>
      <c r="AR243" s="7"/>
      <c r="AS243" s="7"/>
      <c r="AT243" s="7"/>
      <c r="AU243" s="7"/>
      <c r="AV243" s="7"/>
    </row>
    <row r="244" spans="31:48" ht="13.9" customHeight="1">
      <c r="AE244" s="7"/>
      <c r="AF244" s="7"/>
      <c r="AG244" s="7"/>
      <c r="AH244" s="7"/>
      <c r="AI244" s="7"/>
      <c r="AJ244" s="7"/>
      <c r="AK244" s="7"/>
      <c r="AL244" s="7"/>
      <c r="AM244" s="7"/>
      <c r="AN244" s="7"/>
      <c r="AO244" s="7"/>
      <c r="AP244" s="7"/>
      <c r="AQ244" s="7"/>
      <c r="AR244" s="7"/>
      <c r="AS244" s="7"/>
      <c r="AT244" s="7"/>
      <c r="AU244" s="7"/>
      <c r="AV244" s="7"/>
    </row>
    <row r="245" spans="31:48" ht="13.9" customHeight="1">
      <c r="AE245" s="7"/>
      <c r="AF245" s="7"/>
      <c r="AG245" s="7"/>
      <c r="AH245" s="7"/>
      <c r="AI245" s="7"/>
      <c r="AJ245" s="7"/>
      <c r="AK245" s="7"/>
      <c r="AL245" s="7"/>
      <c r="AM245" s="7"/>
      <c r="AN245" s="7"/>
      <c r="AO245" s="7"/>
      <c r="AP245" s="7"/>
      <c r="AQ245" s="7"/>
      <c r="AR245" s="7"/>
      <c r="AS245" s="7"/>
      <c r="AT245" s="7"/>
      <c r="AU245" s="7"/>
      <c r="AV245" s="7"/>
    </row>
    <row r="246" spans="31:48" ht="13.9" customHeight="1">
      <c r="AE246" s="7"/>
      <c r="AF246" s="7"/>
      <c r="AG246" s="7"/>
      <c r="AH246" s="7"/>
      <c r="AI246" s="7"/>
      <c r="AJ246" s="7"/>
      <c r="AK246" s="7"/>
      <c r="AL246" s="7"/>
      <c r="AM246" s="7"/>
      <c r="AN246" s="7"/>
      <c r="AO246" s="7"/>
      <c r="AP246" s="7"/>
      <c r="AQ246" s="7"/>
      <c r="AR246" s="7"/>
      <c r="AS246" s="7"/>
      <c r="AT246" s="7"/>
      <c r="AU246" s="7"/>
      <c r="AV246" s="7"/>
    </row>
    <row r="247" spans="31:48" ht="14.25">
      <c r="AE247" s="7"/>
      <c r="AF247" s="7"/>
      <c r="AG247" s="7"/>
      <c r="AH247" s="7"/>
      <c r="AI247" s="7"/>
      <c r="AJ247" s="7"/>
      <c r="AK247" s="7"/>
      <c r="AL247" s="7"/>
      <c r="AM247" s="7"/>
      <c r="AN247" s="7"/>
      <c r="AO247" s="7"/>
      <c r="AP247" s="7"/>
      <c r="AQ247" s="7"/>
      <c r="AR247" s="7"/>
      <c r="AS247" s="7"/>
      <c r="AT247" s="7"/>
      <c r="AU247" s="7"/>
      <c r="AV247" s="7"/>
    </row>
    <row r="248" spans="31:48" ht="13.9" customHeight="1">
      <c r="AE248" s="7"/>
      <c r="AF248" s="7"/>
      <c r="AG248" s="7"/>
      <c r="AH248" s="7"/>
      <c r="AI248" s="7"/>
      <c r="AJ248" s="7"/>
      <c r="AK248" s="7"/>
      <c r="AL248" s="7"/>
      <c r="AM248" s="7"/>
      <c r="AN248" s="7"/>
      <c r="AO248" s="7"/>
      <c r="AP248" s="7"/>
      <c r="AQ248" s="7"/>
      <c r="AR248" s="7"/>
      <c r="AS248" s="7"/>
      <c r="AT248" s="7"/>
      <c r="AU248" s="7"/>
      <c r="AV248" s="7"/>
    </row>
    <row r="249" spans="31:48" ht="13.9" customHeight="1">
      <c r="AE249" s="7"/>
      <c r="AF249" s="7"/>
      <c r="AG249" s="7"/>
      <c r="AH249" s="7"/>
      <c r="AI249" s="7"/>
      <c r="AJ249" s="7"/>
      <c r="AK249" s="7"/>
      <c r="AL249" s="7"/>
      <c r="AM249" s="7"/>
      <c r="AN249" s="7"/>
      <c r="AO249" s="7"/>
      <c r="AP249" s="7"/>
      <c r="AQ249" s="7"/>
      <c r="AR249" s="7"/>
      <c r="AS249" s="7"/>
      <c r="AT249" s="7"/>
      <c r="AU249" s="7"/>
      <c r="AV249" s="7"/>
    </row>
    <row r="250" spans="31:48" ht="13.9" customHeight="1">
      <c r="AE250" s="7"/>
      <c r="AF250" s="7"/>
      <c r="AG250" s="7"/>
      <c r="AH250" s="7"/>
      <c r="AI250" s="7"/>
      <c r="AJ250" s="7"/>
      <c r="AK250" s="7"/>
      <c r="AL250" s="7"/>
      <c r="AM250" s="7"/>
      <c r="AN250" s="7"/>
      <c r="AO250" s="7"/>
      <c r="AP250" s="7"/>
      <c r="AQ250" s="7"/>
      <c r="AR250" s="7"/>
      <c r="AS250" s="7"/>
      <c r="AT250" s="7"/>
      <c r="AU250" s="7"/>
      <c r="AV250" s="7"/>
    </row>
    <row r="251" spans="31:48" ht="13.9" customHeight="1">
      <c r="AE251" s="7"/>
      <c r="AF251" s="7"/>
      <c r="AG251" s="7"/>
      <c r="AH251" s="7"/>
      <c r="AI251" s="7"/>
      <c r="AJ251" s="7"/>
      <c r="AK251" s="7"/>
      <c r="AL251" s="7"/>
      <c r="AM251" s="7"/>
      <c r="AN251" s="7"/>
      <c r="AO251" s="7"/>
      <c r="AP251" s="7"/>
      <c r="AQ251" s="7"/>
      <c r="AR251" s="7"/>
      <c r="AS251" s="7"/>
      <c r="AT251" s="7"/>
      <c r="AU251" s="7"/>
      <c r="AV251" s="7"/>
    </row>
    <row r="252" spans="31:48" ht="13.9" customHeight="1">
      <c r="AE252" s="7"/>
      <c r="AF252" s="7"/>
      <c r="AG252" s="7"/>
      <c r="AH252" s="7"/>
      <c r="AI252" s="7"/>
      <c r="AJ252" s="7"/>
      <c r="AK252" s="7"/>
      <c r="AL252" s="7"/>
      <c r="AM252" s="7"/>
      <c r="AN252" s="7"/>
      <c r="AO252" s="7"/>
      <c r="AP252" s="7"/>
      <c r="AQ252" s="7"/>
      <c r="AR252" s="7"/>
      <c r="AS252" s="7"/>
      <c r="AT252" s="7"/>
      <c r="AU252" s="7"/>
      <c r="AV252" s="130"/>
    </row>
    <row r="253" spans="31:48" ht="13.9" customHeight="1">
      <c r="AE253" s="7"/>
      <c r="AF253" s="90"/>
      <c r="AG253" s="90"/>
      <c r="AH253" s="90"/>
      <c r="AI253" s="93"/>
      <c r="AJ253" s="90"/>
      <c r="AK253" s="7"/>
      <c r="AL253" s="7"/>
      <c r="AM253" s="7"/>
      <c r="AN253" s="7"/>
      <c r="AO253" s="7"/>
      <c r="AP253" s="7"/>
      <c r="AQ253" s="7"/>
      <c r="AR253" s="7"/>
      <c r="AS253" s="7"/>
      <c r="AT253" s="7"/>
      <c r="AU253" s="7"/>
      <c r="AV253" s="130"/>
    </row>
    <row r="254" spans="31:48" ht="13.9" customHeight="1">
      <c r="AE254" s="7"/>
      <c r="AF254" s="7"/>
      <c r="AG254" s="7"/>
      <c r="AH254" s="7"/>
      <c r="AI254" s="7"/>
      <c r="AJ254" s="7"/>
      <c r="AK254" s="7"/>
      <c r="AL254" s="7"/>
      <c r="AM254" s="7"/>
      <c r="AN254" s="7"/>
      <c r="AO254" s="7"/>
      <c r="AP254" s="7"/>
      <c r="AQ254" s="7"/>
      <c r="AR254" s="7"/>
      <c r="AS254" s="7"/>
      <c r="AT254" s="7"/>
      <c r="AU254" s="7"/>
      <c r="AV254" s="7"/>
    </row>
    <row r="255" spans="31:48" ht="13.9" customHeight="1">
      <c r="AE255" s="7"/>
      <c r="AF255" s="7"/>
      <c r="AG255" s="7"/>
      <c r="AH255" s="7"/>
      <c r="AI255" s="7"/>
      <c r="AJ255" s="7"/>
      <c r="AK255" s="7"/>
      <c r="AL255" s="7"/>
      <c r="AM255" s="7"/>
      <c r="AN255" s="7"/>
      <c r="AO255" s="7"/>
      <c r="AP255" s="7"/>
      <c r="AQ255" s="7"/>
      <c r="AR255" s="7"/>
      <c r="AS255" s="7"/>
      <c r="AT255" s="7"/>
      <c r="AU255" s="7"/>
      <c r="AV255" s="7"/>
    </row>
    <row r="256" spans="31:48" ht="13.9" customHeight="1">
      <c r="AE256" s="130"/>
      <c r="AF256" s="130"/>
      <c r="AG256" s="130"/>
      <c r="AH256" s="130"/>
      <c r="AI256" s="130"/>
      <c r="AJ256" s="130"/>
      <c r="AK256" s="130"/>
      <c r="AL256" s="7"/>
      <c r="AM256" s="7"/>
      <c r="AN256" s="7"/>
      <c r="AO256" s="7"/>
      <c r="AP256" s="7"/>
      <c r="AQ256" s="7"/>
      <c r="AR256" s="7"/>
      <c r="AS256" s="7"/>
      <c r="AT256" s="7"/>
      <c r="AU256" s="7"/>
      <c r="AV256" s="7"/>
    </row>
    <row r="257" spans="31:48" ht="13.9" customHeight="1">
      <c r="AE257" s="130"/>
      <c r="AF257" s="130"/>
      <c r="AG257" s="130"/>
      <c r="AH257" s="130"/>
      <c r="AI257" s="130"/>
      <c r="AJ257" s="130"/>
      <c r="AK257" s="130"/>
      <c r="AL257" s="7"/>
      <c r="AM257" s="7"/>
      <c r="AN257" s="7"/>
      <c r="AO257" s="7"/>
      <c r="AP257" s="7"/>
      <c r="AQ257" s="7"/>
      <c r="AR257" s="7"/>
      <c r="AS257" s="7"/>
      <c r="AT257" s="7"/>
      <c r="AU257" s="7"/>
      <c r="AV257" s="7"/>
    </row>
    <row r="258" spans="31:48" ht="13.9" customHeight="1">
      <c r="AE258" s="7"/>
      <c r="AF258" s="7"/>
      <c r="AG258" s="7"/>
      <c r="AH258" s="7"/>
      <c r="AI258" s="7"/>
      <c r="AJ258" s="7"/>
      <c r="AK258" s="7"/>
      <c r="AL258" s="7"/>
      <c r="AM258" s="7"/>
      <c r="AN258" s="7"/>
      <c r="AO258" s="7"/>
      <c r="AP258" s="7"/>
      <c r="AQ258" s="7"/>
      <c r="AR258" s="7"/>
      <c r="AS258" s="7"/>
      <c r="AT258" s="7"/>
      <c r="AU258" s="7"/>
      <c r="AV258" s="7"/>
    </row>
    <row r="259" spans="31:48" ht="13.9" customHeight="1">
      <c r="AE259" s="7"/>
      <c r="AF259" s="7"/>
      <c r="AG259" s="7"/>
      <c r="AH259" s="7"/>
      <c r="AI259" s="7"/>
      <c r="AJ259" s="7"/>
      <c r="AK259" s="7"/>
      <c r="AL259" s="7"/>
      <c r="AM259" s="7"/>
      <c r="AN259" s="7"/>
      <c r="AO259" s="7"/>
      <c r="AP259" s="7"/>
      <c r="AQ259" s="7"/>
      <c r="AR259" s="7"/>
      <c r="AS259" s="7"/>
      <c r="AT259" s="7"/>
      <c r="AU259" s="7"/>
      <c r="AV259" s="7"/>
    </row>
    <row r="260" spans="31:48" ht="13.9" customHeight="1">
      <c r="AE260" s="7"/>
      <c r="AF260" s="7"/>
      <c r="AG260" s="7"/>
      <c r="AH260" s="7"/>
      <c r="AI260" s="7"/>
      <c r="AJ260" s="7"/>
      <c r="AK260" s="7"/>
      <c r="AL260" s="7"/>
      <c r="AM260" s="7"/>
      <c r="AN260" s="7"/>
      <c r="AO260" s="7"/>
      <c r="AP260" s="7"/>
      <c r="AQ260" s="7"/>
      <c r="AR260" s="7"/>
      <c r="AS260" s="7"/>
      <c r="AT260" s="7"/>
      <c r="AU260" s="7"/>
      <c r="AV260" s="7"/>
    </row>
    <row r="261" spans="31:48" ht="13.9" customHeight="1">
      <c r="AE261" s="168"/>
      <c r="AF261" s="7"/>
      <c r="AG261" s="7"/>
      <c r="AH261" s="7"/>
      <c r="AI261" s="7"/>
      <c r="AJ261" s="7"/>
      <c r="AK261" s="7"/>
      <c r="AL261" s="7"/>
      <c r="AM261" s="7"/>
      <c r="AN261" s="7"/>
      <c r="AO261" s="7"/>
      <c r="AP261" s="7"/>
      <c r="AQ261" s="7"/>
      <c r="AR261" s="7"/>
      <c r="AS261" s="7"/>
      <c r="AT261" s="7"/>
      <c r="AU261" s="7"/>
      <c r="AV261" s="7"/>
    </row>
    <row r="262" spans="31:48" ht="13.9" customHeight="1">
      <c r="AE262" s="7"/>
      <c r="AF262" s="7"/>
      <c r="AG262" s="7"/>
      <c r="AH262" s="7"/>
      <c r="AI262" s="7"/>
      <c r="AJ262" s="7"/>
      <c r="AK262" s="7"/>
      <c r="AL262" s="7"/>
      <c r="AM262" s="7"/>
      <c r="AN262" s="7"/>
      <c r="AO262" s="7"/>
      <c r="AP262" s="7"/>
      <c r="AQ262" s="7"/>
      <c r="AR262" s="7"/>
      <c r="AS262" s="7"/>
      <c r="AT262" s="7"/>
      <c r="AU262" s="7"/>
      <c r="AV262" s="7"/>
    </row>
    <row r="263" spans="31:48" ht="13.9" customHeight="1">
      <c r="AE263" s="7"/>
      <c r="AF263" s="7"/>
      <c r="AG263" s="7"/>
      <c r="AH263" s="7"/>
      <c r="AI263" s="7"/>
      <c r="AJ263" s="7"/>
      <c r="AK263" s="7"/>
      <c r="AL263" s="7"/>
      <c r="AM263" s="7"/>
      <c r="AN263" s="7"/>
      <c r="AO263" s="7"/>
      <c r="AP263" s="7"/>
      <c r="AQ263" s="7"/>
      <c r="AR263" s="7"/>
      <c r="AS263" s="7"/>
      <c r="AT263" s="7"/>
      <c r="AU263" s="7"/>
      <c r="AV263" s="7"/>
    </row>
    <row r="264" spans="31:48" ht="13.9" customHeight="1">
      <c r="AE264" s="7"/>
      <c r="AF264" s="7"/>
      <c r="AG264" s="7"/>
      <c r="AH264" s="7"/>
      <c r="AI264" s="7"/>
      <c r="AJ264" s="7"/>
      <c r="AK264" s="7"/>
      <c r="AL264" s="130"/>
      <c r="AM264" s="130"/>
      <c r="AN264" s="130"/>
      <c r="AO264" s="130"/>
      <c r="AP264" s="130"/>
      <c r="AQ264" s="130"/>
      <c r="AR264" s="130"/>
      <c r="AS264" s="130"/>
      <c r="AT264" s="130"/>
      <c r="AU264" s="130"/>
      <c r="AV264" s="7"/>
    </row>
    <row r="265" spans="31:48" ht="13.9" customHeight="1">
      <c r="AE265" s="7"/>
      <c r="AF265" s="7"/>
      <c r="AG265" s="7"/>
      <c r="AH265" s="7"/>
      <c r="AI265" s="7"/>
      <c r="AJ265" s="7"/>
      <c r="AK265" s="7"/>
      <c r="AL265" s="130"/>
      <c r="AM265" s="130"/>
      <c r="AN265" s="130"/>
      <c r="AO265" s="130"/>
      <c r="AP265" s="130"/>
      <c r="AQ265" s="130"/>
      <c r="AR265" s="130"/>
      <c r="AS265" s="130"/>
      <c r="AT265" s="130"/>
      <c r="AU265" s="130"/>
      <c r="AV265" s="7"/>
    </row>
    <row r="266" spans="31:48" ht="13.9" customHeight="1">
      <c r="AE266" s="7"/>
      <c r="AF266" s="7"/>
      <c r="AG266" s="7"/>
      <c r="AH266" s="7"/>
      <c r="AI266" s="7"/>
      <c r="AJ266" s="7"/>
      <c r="AK266" s="7"/>
      <c r="AL266" s="7"/>
      <c r="AM266" s="7"/>
      <c r="AN266" s="7"/>
      <c r="AO266" s="7"/>
      <c r="AP266" s="7"/>
      <c r="AQ266" s="7"/>
      <c r="AR266" s="7"/>
      <c r="AS266" s="7"/>
      <c r="AT266" s="7"/>
      <c r="AU266" s="7"/>
      <c r="AV266" s="7"/>
    </row>
    <row r="267" spans="31:48" ht="13.9" customHeight="1">
      <c r="AE267" s="7"/>
      <c r="AF267" s="7"/>
      <c r="AG267" s="7"/>
      <c r="AH267" s="7"/>
      <c r="AI267" s="7"/>
      <c r="AJ267" s="7"/>
      <c r="AK267" s="7"/>
      <c r="AL267" s="7"/>
      <c r="AM267" s="7"/>
      <c r="AN267" s="7"/>
      <c r="AO267" s="7"/>
      <c r="AP267" s="7"/>
      <c r="AQ267" s="7"/>
      <c r="AR267" s="7"/>
      <c r="AS267" s="7"/>
      <c r="AT267" s="7"/>
      <c r="AU267" s="7"/>
      <c r="AV267" s="7"/>
    </row>
    <row r="268" spans="31:48" ht="13.9" customHeight="1">
      <c r="AE268" s="7"/>
      <c r="AF268" s="7"/>
      <c r="AG268" s="7"/>
      <c r="AH268" s="7"/>
      <c r="AI268" s="7"/>
      <c r="AJ268" s="7"/>
      <c r="AK268" s="7"/>
      <c r="AL268" s="7"/>
      <c r="AM268" s="7"/>
      <c r="AN268" s="7"/>
      <c r="AO268" s="7"/>
      <c r="AP268" s="7"/>
      <c r="AQ268" s="7"/>
      <c r="AR268" s="7"/>
      <c r="AS268" s="7"/>
      <c r="AT268" s="7"/>
      <c r="AU268" s="7"/>
      <c r="AV268" s="7"/>
    </row>
    <row r="269" spans="31:48" ht="13.9" customHeight="1">
      <c r="AE269" s="7"/>
      <c r="AF269" s="7"/>
      <c r="AG269" s="7"/>
      <c r="AH269" s="7"/>
      <c r="AI269" s="7"/>
      <c r="AJ269" s="7"/>
      <c r="AK269" s="7"/>
      <c r="AL269" s="7"/>
      <c r="AM269" s="7"/>
      <c r="AN269" s="7"/>
      <c r="AO269" s="7"/>
      <c r="AP269" s="7"/>
      <c r="AQ269" s="7"/>
      <c r="AR269" s="7"/>
      <c r="AS269" s="7"/>
      <c r="AT269" s="7"/>
      <c r="AU269" s="7"/>
      <c r="AV269" s="7"/>
    </row>
    <row r="270" spans="31:48" ht="13.9" customHeight="1">
      <c r="AE270" s="7"/>
      <c r="AF270" s="7"/>
      <c r="AG270" s="7"/>
      <c r="AH270" s="7"/>
      <c r="AI270" s="7"/>
      <c r="AJ270" s="7"/>
      <c r="AK270" s="7"/>
      <c r="AL270" s="7"/>
      <c r="AM270" s="7"/>
      <c r="AN270" s="7"/>
      <c r="AO270" s="7"/>
      <c r="AP270" s="7"/>
      <c r="AQ270" s="7"/>
      <c r="AR270" s="7"/>
      <c r="AS270" s="7"/>
      <c r="AT270" s="7"/>
      <c r="AU270" s="7"/>
      <c r="AV270" s="7"/>
    </row>
    <row r="271" spans="31:48" ht="13.9" customHeight="1">
      <c r="AE271" s="7"/>
      <c r="AF271" s="7"/>
      <c r="AG271" s="7"/>
      <c r="AH271" s="7"/>
      <c r="AI271" s="7"/>
      <c r="AJ271" s="7"/>
      <c r="AK271" s="7"/>
      <c r="AL271" s="7"/>
      <c r="AM271" s="7"/>
      <c r="AN271" s="7"/>
      <c r="AO271" s="7"/>
      <c r="AP271" s="7"/>
      <c r="AQ271" s="7"/>
      <c r="AR271" s="7"/>
      <c r="AS271" s="7"/>
      <c r="AT271" s="7"/>
      <c r="AU271" s="7"/>
      <c r="AV271" s="7"/>
    </row>
    <row r="272" spans="31:48" ht="13.9" customHeight="1">
      <c r="AE272" s="7"/>
      <c r="AF272" s="7"/>
      <c r="AG272" s="7"/>
      <c r="AH272" s="7"/>
      <c r="AI272" s="7"/>
      <c r="AJ272" s="7"/>
      <c r="AK272" s="7"/>
      <c r="AL272" s="7"/>
      <c r="AM272" s="7"/>
      <c r="AN272" s="7"/>
      <c r="AO272" s="7"/>
      <c r="AP272" s="7"/>
      <c r="AQ272" s="7"/>
      <c r="AR272" s="7"/>
      <c r="AS272" s="7"/>
      <c r="AT272" s="7"/>
      <c r="AU272" s="7"/>
      <c r="AV272" s="7"/>
    </row>
    <row r="273" spans="31:48" ht="13.9" customHeight="1">
      <c r="AE273" s="7"/>
      <c r="AF273" s="7"/>
      <c r="AG273" s="7"/>
      <c r="AH273" s="7"/>
      <c r="AI273" s="7"/>
      <c r="AJ273" s="7"/>
      <c r="AK273" s="7"/>
      <c r="AL273" s="7"/>
      <c r="AM273" s="7"/>
      <c r="AN273" s="7"/>
      <c r="AO273" s="7"/>
      <c r="AP273" s="7"/>
      <c r="AQ273" s="7"/>
      <c r="AR273" s="7"/>
      <c r="AS273" s="7"/>
      <c r="AT273" s="7"/>
      <c r="AU273" s="7"/>
      <c r="AV273" s="7"/>
    </row>
    <row r="274" spans="31:48" ht="13.9" customHeight="1">
      <c r="AE274" s="7"/>
      <c r="AF274" s="7"/>
      <c r="AG274" s="7"/>
      <c r="AH274" s="7"/>
      <c r="AI274" s="7"/>
      <c r="AJ274" s="7"/>
      <c r="AK274" s="7"/>
      <c r="AL274" s="7"/>
      <c r="AM274" s="7"/>
      <c r="AN274" s="7"/>
      <c r="AO274" s="7"/>
      <c r="AP274" s="7"/>
      <c r="AQ274" s="7"/>
      <c r="AR274" s="7"/>
      <c r="AS274" s="7"/>
      <c r="AT274" s="7"/>
      <c r="AU274" s="7"/>
      <c r="AV274" s="7"/>
    </row>
    <row r="275" spans="31:48" ht="13.9" customHeight="1">
      <c r="AE275" s="7"/>
      <c r="AF275" s="7"/>
      <c r="AG275" s="7"/>
      <c r="AH275" s="7"/>
      <c r="AI275" s="7"/>
      <c r="AJ275" s="7"/>
      <c r="AK275" s="7"/>
      <c r="AL275" s="7"/>
      <c r="AM275" s="7"/>
      <c r="AN275" s="7"/>
      <c r="AO275" s="7"/>
      <c r="AP275" s="7"/>
      <c r="AQ275" s="7"/>
      <c r="AR275" s="7"/>
      <c r="AS275" s="7"/>
      <c r="AT275" s="7"/>
      <c r="AU275" s="7"/>
      <c r="AV275" s="7"/>
    </row>
    <row r="276" spans="31:48" ht="13.9" customHeight="1">
      <c r="AE276" s="7"/>
      <c r="AF276" s="7"/>
      <c r="AG276" s="7"/>
      <c r="AH276" s="7"/>
      <c r="AI276" s="7"/>
      <c r="AJ276" s="7"/>
      <c r="AK276" s="7"/>
      <c r="AL276" s="7"/>
      <c r="AM276" s="7"/>
      <c r="AN276" s="7"/>
      <c r="AO276" s="7"/>
      <c r="AP276" s="7"/>
      <c r="AQ276" s="7"/>
      <c r="AR276" s="7"/>
      <c r="AS276" s="7"/>
      <c r="AT276" s="7"/>
      <c r="AU276" s="7"/>
      <c r="AV276" s="7"/>
    </row>
    <row r="277" spans="31:48" ht="13.9" customHeight="1">
      <c r="AE277" s="7"/>
      <c r="AF277" s="7"/>
      <c r="AG277" s="7"/>
      <c r="AH277" s="7"/>
      <c r="AI277" s="7"/>
      <c r="AJ277" s="7"/>
      <c r="AK277" s="7"/>
      <c r="AL277" s="7"/>
      <c r="AM277" s="7"/>
      <c r="AN277" s="7"/>
      <c r="AO277" s="7"/>
      <c r="AP277" s="7"/>
      <c r="AQ277" s="7"/>
      <c r="AR277" s="7"/>
      <c r="AS277" s="7"/>
      <c r="AT277" s="7"/>
      <c r="AU277" s="7"/>
      <c r="AV277" s="7"/>
    </row>
    <row r="278" spans="31:48" ht="13.9" customHeight="1">
      <c r="AE278" s="7"/>
      <c r="AF278" s="7"/>
      <c r="AG278" s="7"/>
      <c r="AH278" s="7"/>
      <c r="AI278" s="7"/>
      <c r="AJ278" s="7"/>
      <c r="AK278" s="7"/>
      <c r="AL278" s="7"/>
      <c r="AM278" s="7"/>
      <c r="AN278" s="7"/>
      <c r="AO278" s="7"/>
      <c r="AP278" s="7"/>
      <c r="AQ278" s="7"/>
      <c r="AR278" s="7"/>
      <c r="AS278" s="7"/>
      <c r="AT278" s="7"/>
      <c r="AU278" s="7"/>
      <c r="AV278" s="7"/>
    </row>
    <row r="279" spans="31:48" ht="13.9" customHeight="1">
      <c r="AE279" s="7"/>
      <c r="AF279" s="7"/>
      <c r="AG279" s="7"/>
      <c r="AH279" s="7"/>
      <c r="AI279" s="7"/>
      <c r="AJ279" s="7"/>
      <c r="AK279" s="7"/>
      <c r="AL279" s="7"/>
      <c r="AM279" s="7"/>
      <c r="AN279" s="7"/>
      <c r="AO279" s="7"/>
      <c r="AP279" s="7"/>
      <c r="AQ279" s="7"/>
      <c r="AR279" s="7"/>
      <c r="AS279" s="7"/>
      <c r="AT279" s="7"/>
      <c r="AU279" s="7"/>
      <c r="AV279" s="130"/>
    </row>
    <row r="280" spans="31:48" ht="13.9" customHeight="1">
      <c r="AE280" s="7"/>
      <c r="AF280" s="7"/>
      <c r="AG280" s="7"/>
      <c r="AH280" s="7"/>
      <c r="AI280" s="7"/>
      <c r="AJ280" s="7"/>
      <c r="AK280" s="7"/>
      <c r="AL280" s="7"/>
      <c r="AM280" s="7"/>
      <c r="AN280" s="7"/>
      <c r="AO280" s="7"/>
      <c r="AP280" s="7"/>
      <c r="AQ280" s="7"/>
      <c r="AR280" s="7"/>
      <c r="AS280" s="7"/>
      <c r="AT280" s="7"/>
      <c r="AU280" s="7"/>
      <c r="AV280" s="130"/>
    </row>
    <row r="281" spans="31:48" ht="13.9" customHeight="1">
      <c r="AE281" s="7"/>
      <c r="AF281" s="7"/>
      <c r="AG281" s="7"/>
      <c r="AH281" s="7"/>
      <c r="AI281" s="7"/>
      <c r="AJ281" s="7"/>
      <c r="AK281" s="7"/>
      <c r="AL281" s="7"/>
      <c r="AM281" s="7"/>
      <c r="AN281" s="7"/>
      <c r="AO281" s="7"/>
      <c r="AP281" s="7"/>
      <c r="AQ281" s="7"/>
      <c r="AR281" s="7"/>
      <c r="AS281" s="7"/>
      <c r="AT281" s="7"/>
      <c r="AU281" s="7"/>
      <c r="AV281" s="7"/>
    </row>
    <row r="282" spans="31:48" ht="13.9" customHeight="1">
      <c r="AE282" s="7"/>
      <c r="AF282" s="7"/>
      <c r="AG282" s="7"/>
      <c r="AH282" s="7"/>
      <c r="AI282" s="7"/>
      <c r="AJ282" s="7"/>
      <c r="AK282" s="7"/>
      <c r="AL282" s="7"/>
      <c r="AM282" s="7"/>
      <c r="AN282" s="7"/>
      <c r="AO282" s="7"/>
      <c r="AP282" s="7"/>
      <c r="AQ282" s="7"/>
      <c r="AR282" s="7"/>
      <c r="AS282" s="7"/>
      <c r="AT282" s="7"/>
      <c r="AU282" s="7"/>
      <c r="AV282" s="7"/>
    </row>
    <row r="283" spans="31:48" ht="13.9" customHeight="1">
      <c r="AE283" s="130"/>
      <c r="AF283" s="130"/>
      <c r="AG283" s="130"/>
      <c r="AH283" s="130"/>
      <c r="AI283" s="130"/>
      <c r="AJ283" s="130"/>
      <c r="AK283" s="130"/>
      <c r="AL283" s="7"/>
      <c r="AM283" s="7"/>
      <c r="AN283" s="7"/>
      <c r="AO283" s="7"/>
      <c r="AP283" s="7"/>
      <c r="AQ283" s="7"/>
      <c r="AR283" s="7"/>
      <c r="AS283" s="7"/>
      <c r="AT283" s="7"/>
      <c r="AU283" s="7"/>
      <c r="AV283" s="7"/>
    </row>
    <row r="284" spans="31:48" ht="13.9" customHeight="1">
      <c r="AE284" s="130"/>
      <c r="AF284" s="130"/>
      <c r="AG284" s="130"/>
      <c r="AH284" s="130"/>
      <c r="AI284" s="130"/>
      <c r="AJ284" s="130"/>
      <c r="AK284" s="130"/>
      <c r="AL284" s="7"/>
      <c r="AM284" s="7"/>
      <c r="AN284" s="7"/>
      <c r="AO284" s="7"/>
      <c r="AP284" s="7"/>
      <c r="AQ284" s="7"/>
      <c r="AR284" s="7"/>
      <c r="AS284" s="7"/>
      <c r="AT284" s="7"/>
      <c r="AU284" s="7"/>
      <c r="AV284" s="7"/>
    </row>
    <row r="285" spans="31:48" ht="13.9" customHeight="1">
      <c r="AE285" s="7"/>
      <c r="AF285" s="7"/>
      <c r="AG285" s="7"/>
      <c r="AH285" s="7"/>
      <c r="AI285" s="7"/>
      <c r="AJ285" s="7"/>
      <c r="AK285" s="7"/>
      <c r="AL285" s="7"/>
      <c r="AM285" s="7"/>
      <c r="AN285" s="7"/>
      <c r="AO285" s="7"/>
      <c r="AP285" s="7"/>
      <c r="AQ285" s="7"/>
      <c r="AR285" s="7"/>
      <c r="AS285" s="7"/>
      <c r="AT285" s="7"/>
      <c r="AU285" s="7"/>
      <c r="AV285" s="7"/>
    </row>
    <row r="286" spans="31:48" ht="13.9" customHeight="1">
      <c r="AE286" s="7"/>
      <c r="AF286" s="7"/>
      <c r="AG286" s="7"/>
      <c r="AH286" s="7"/>
      <c r="AI286" s="7"/>
      <c r="AJ286" s="7"/>
      <c r="AK286" s="7"/>
      <c r="AL286" s="7"/>
      <c r="AM286" s="7"/>
      <c r="AN286" s="7"/>
      <c r="AO286" s="7"/>
      <c r="AP286" s="7"/>
      <c r="AQ286" s="7"/>
      <c r="AR286" s="7"/>
      <c r="AS286" s="7"/>
      <c r="AT286" s="7"/>
      <c r="AU286" s="7"/>
      <c r="AV286" s="7"/>
    </row>
    <row r="287" spans="31:48" ht="13.9" customHeight="1">
      <c r="AE287" s="168"/>
      <c r="AF287" s="7"/>
      <c r="AG287" s="7"/>
      <c r="AH287" s="7"/>
      <c r="AI287" s="7"/>
      <c r="AJ287" s="7"/>
      <c r="AK287" s="7"/>
      <c r="AL287" s="7"/>
      <c r="AM287" s="7"/>
      <c r="AN287" s="7"/>
      <c r="AO287" s="7"/>
      <c r="AP287" s="7"/>
      <c r="AQ287" s="7"/>
      <c r="AR287" s="7"/>
      <c r="AS287" s="7"/>
      <c r="AT287" s="7"/>
      <c r="AU287" s="7"/>
      <c r="AV287" s="7"/>
    </row>
    <row r="288" spans="31:48" ht="13.9" customHeight="1">
      <c r="AE288" s="7"/>
      <c r="AF288" s="7"/>
      <c r="AG288" s="7"/>
      <c r="AH288" s="7"/>
      <c r="AI288" s="7"/>
      <c r="AJ288" s="7"/>
      <c r="AK288" s="7"/>
      <c r="AL288" s="7"/>
      <c r="AM288" s="7"/>
      <c r="AN288" s="7"/>
      <c r="AO288" s="7"/>
      <c r="AP288" s="7"/>
      <c r="AQ288" s="7"/>
      <c r="AR288" s="7"/>
      <c r="AS288" s="7"/>
      <c r="AT288" s="7"/>
      <c r="AU288" s="7"/>
      <c r="AV288" s="7"/>
    </row>
    <row r="289" spans="4:48" ht="13.9" customHeight="1">
      <c r="AE289" s="7"/>
      <c r="AF289" s="7"/>
      <c r="AG289" s="7"/>
      <c r="AH289" s="7"/>
      <c r="AI289" s="7"/>
      <c r="AJ289" s="7"/>
      <c r="AK289" s="7"/>
      <c r="AL289" s="7"/>
      <c r="AM289" s="7"/>
      <c r="AN289" s="7"/>
      <c r="AO289" s="7"/>
      <c r="AP289" s="7"/>
      <c r="AQ289" s="7"/>
      <c r="AR289" s="7"/>
      <c r="AS289" s="7"/>
      <c r="AT289" s="7"/>
      <c r="AU289" s="7"/>
      <c r="AV289" s="7"/>
    </row>
    <row r="290" spans="4:48" ht="13.9" customHeight="1">
      <c r="AE290" s="7"/>
      <c r="AF290" s="7"/>
      <c r="AG290" s="7"/>
      <c r="AH290" s="7"/>
      <c r="AI290" s="7"/>
      <c r="AJ290" s="7"/>
      <c r="AK290" s="7"/>
      <c r="AL290" s="7"/>
      <c r="AM290" s="7"/>
      <c r="AN290" s="7"/>
      <c r="AO290" s="7"/>
      <c r="AP290" s="7"/>
      <c r="AQ290" s="7"/>
      <c r="AR290" s="7"/>
      <c r="AS290" s="7"/>
      <c r="AT290" s="7"/>
      <c r="AU290" s="7"/>
      <c r="AV290" s="7"/>
    </row>
    <row r="291" spans="4:48" ht="13.9" customHeight="1">
      <c r="AE291" s="7"/>
      <c r="AF291" s="7"/>
      <c r="AG291" s="7"/>
      <c r="AH291" s="7"/>
      <c r="AI291" s="7"/>
      <c r="AJ291" s="7"/>
      <c r="AK291" s="7"/>
      <c r="AL291" s="130"/>
      <c r="AM291" s="130"/>
      <c r="AN291" s="130"/>
      <c r="AO291" s="130"/>
      <c r="AP291" s="130"/>
      <c r="AQ291" s="130"/>
      <c r="AR291" s="130"/>
      <c r="AS291" s="130"/>
      <c r="AT291" s="130"/>
      <c r="AU291" s="130"/>
      <c r="AV291" s="7"/>
    </row>
    <row r="292" spans="4:48" ht="13.9" customHeight="1">
      <c r="AE292" s="7"/>
      <c r="AF292" s="7"/>
      <c r="AG292" s="7"/>
      <c r="AH292" s="7"/>
      <c r="AI292" s="7"/>
      <c r="AJ292" s="7"/>
      <c r="AK292" s="7"/>
      <c r="AL292" s="130"/>
      <c r="AM292" s="130"/>
      <c r="AN292" s="130"/>
      <c r="AO292" s="130"/>
      <c r="AP292" s="130"/>
      <c r="AQ292" s="130"/>
      <c r="AR292" s="130"/>
      <c r="AS292" s="130"/>
      <c r="AT292" s="130"/>
      <c r="AU292" s="130"/>
      <c r="AV292" s="7"/>
    </row>
    <row r="293" spans="4:48" ht="13.9" customHeight="1">
      <c r="AE293" s="7"/>
      <c r="AF293" s="7"/>
      <c r="AG293" s="7"/>
      <c r="AH293" s="7"/>
      <c r="AI293" s="7"/>
      <c r="AJ293" s="7"/>
      <c r="AK293" s="7"/>
      <c r="AL293" s="7"/>
      <c r="AM293" s="7"/>
      <c r="AN293" s="7"/>
      <c r="AO293" s="7"/>
      <c r="AP293" s="7"/>
      <c r="AQ293" s="7"/>
      <c r="AR293" s="7"/>
      <c r="AS293" s="7"/>
      <c r="AT293" s="7"/>
      <c r="AU293" s="7"/>
      <c r="AV293" s="7"/>
    </row>
    <row r="294" spans="4:48" ht="13.9" customHeight="1">
      <c r="AE294" s="7"/>
      <c r="AF294" s="7"/>
      <c r="AG294" s="7"/>
      <c r="AH294" s="7"/>
      <c r="AI294" s="7"/>
      <c r="AJ294" s="7"/>
      <c r="AK294" s="7"/>
      <c r="AL294" s="7"/>
      <c r="AM294" s="7"/>
      <c r="AN294" s="7"/>
      <c r="AO294" s="7"/>
      <c r="AP294" s="7"/>
      <c r="AQ294" s="7"/>
      <c r="AR294" s="7"/>
      <c r="AS294" s="7"/>
      <c r="AT294" s="7"/>
      <c r="AU294" s="7"/>
      <c r="AV294" s="7"/>
    </row>
    <row r="295" spans="4:48" ht="13.9" customHeight="1">
      <c r="AE295" s="7"/>
      <c r="AF295" s="7"/>
      <c r="AG295" s="7"/>
      <c r="AH295" s="7"/>
      <c r="AI295" s="7"/>
      <c r="AJ295" s="7"/>
      <c r="AK295" s="7"/>
      <c r="AL295" s="7"/>
      <c r="AM295" s="7"/>
      <c r="AN295" s="7"/>
      <c r="AO295" s="7"/>
      <c r="AP295" s="7"/>
      <c r="AQ295" s="7"/>
      <c r="AR295" s="7"/>
      <c r="AS295" s="7"/>
      <c r="AT295" s="7"/>
      <c r="AU295" s="7"/>
      <c r="AV295" s="7"/>
    </row>
    <row r="296" spans="4:48" ht="13.9" customHeight="1">
      <c r="AE296" s="7"/>
      <c r="AF296" s="7"/>
      <c r="AG296" s="7"/>
      <c r="AH296" s="7"/>
      <c r="AI296" s="7"/>
      <c r="AJ296" s="7"/>
      <c r="AK296" s="7"/>
      <c r="AL296" s="7"/>
      <c r="AM296" s="7"/>
      <c r="AN296" s="7"/>
      <c r="AO296" s="7"/>
      <c r="AP296" s="7"/>
      <c r="AQ296" s="7"/>
      <c r="AR296" s="7"/>
      <c r="AS296" s="7"/>
      <c r="AT296" s="7"/>
      <c r="AU296" s="7"/>
      <c r="AV296" s="7"/>
    </row>
    <row r="297" spans="4:48" ht="13.9" customHeight="1">
      <c r="AE297" s="7"/>
      <c r="AF297" s="7"/>
      <c r="AG297" s="7"/>
      <c r="AH297" s="7"/>
      <c r="AI297" s="7"/>
      <c r="AJ297" s="7"/>
      <c r="AK297" s="7"/>
      <c r="AL297" s="7"/>
      <c r="AM297" s="7"/>
      <c r="AN297" s="7"/>
      <c r="AO297" s="7"/>
      <c r="AP297" s="7"/>
      <c r="AQ297" s="7"/>
      <c r="AR297" s="7"/>
      <c r="AS297" s="7"/>
      <c r="AT297" s="7"/>
      <c r="AU297" s="7"/>
      <c r="AV297" s="7"/>
    </row>
    <row r="298" spans="4:48" ht="13.9" customHeight="1">
      <c r="AE298" s="7"/>
      <c r="AF298" s="7"/>
      <c r="AG298" s="7"/>
      <c r="AH298" s="7"/>
      <c r="AI298" s="7"/>
      <c r="AJ298" s="7"/>
      <c r="AK298" s="7"/>
      <c r="AL298" s="7"/>
      <c r="AM298" s="7"/>
      <c r="AN298" s="7"/>
      <c r="AO298" s="7"/>
      <c r="AP298" s="7"/>
      <c r="AQ298" s="7"/>
      <c r="AR298" s="7"/>
      <c r="AS298" s="7"/>
      <c r="AT298" s="7"/>
      <c r="AU298" s="7"/>
      <c r="AV298" s="7"/>
    </row>
    <row r="299" spans="4:48" ht="13.9" customHeight="1">
      <c r="AE299" s="7"/>
      <c r="AF299" s="7"/>
      <c r="AG299" s="7"/>
      <c r="AH299" s="7"/>
      <c r="AI299" s="7"/>
      <c r="AJ299" s="7"/>
      <c r="AK299" s="7"/>
      <c r="AL299" s="7"/>
      <c r="AM299" s="7"/>
      <c r="AN299" s="7"/>
      <c r="AO299" s="7"/>
      <c r="AP299" s="7"/>
      <c r="AQ299" s="7"/>
      <c r="AR299" s="7"/>
      <c r="AS299" s="7"/>
      <c r="AT299" s="7"/>
      <c r="AU299" s="7"/>
      <c r="AV299" s="7"/>
    </row>
    <row r="300" spans="4:48" ht="14.25">
      <c r="AE300" s="89"/>
      <c r="AF300" s="89"/>
      <c r="AG300" s="89"/>
      <c r="AH300" s="89"/>
      <c r="AI300" s="7"/>
      <c r="AJ300" s="7"/>
      <c r="AK300" s="7"/>
      <c r="AL300" s="7"/>
      <c r="AM300" s="7"/>
      <c r="AN300" s="7"/>
      <c r="AO300" s="7"/>
      <c r="AP300" s="7"/>
      <c r="AQ300" s="7"/>
      <c r="AR300" s="7"/>
      <c r="AS300" s="7"/>
      <c r="AT300" s="7"/>
      <c r="AU300" s="7"/>
      <c r="AV300" s="7"/>
    </row>
    <row r="301" spans="4:48" ht="14.25">
      <c r="AE301" s="7"/>
      <c r="AF301" s="7"/>
      <c r="AG301" s="7"/>
      <c r="AH301" s="7"/>
      <c r="AI301" s="7"/>
      <c r="AJ301" s="7"/>
      <c r="AK301" s="7"/>
      <c r="AL301" s="7"/>
      <c r="AM301" s="7"/>
      <c r="AN301" s="7"/>
      <c r="AO301" s="7"/>
      <c r="AP301" s="7"/>
      <c r="AQ301" s="7"/>
      <c r="AR301" s="7"/>
      <c r="AS301" s="7"/>
      <c r="AT301" s="7"/>
      <c r="AU301" s="7"/>
      <c r="AV301" s="7"/>
    </row>
    <row r="302" spans="4:48" ht="13.9" customHeight="1">
      <c r="AE302" s="7"/>
      <c r="AF302" s="7"/>
      <c r="AG302" s="7"/>
      <c r="AH302" s="7"/>
      <c r="AI302" s="7"/>
      <c r="AJ302" s="7"/>
      <c r="AK302" s="7"/>
      <c r="AL302" s="7"/>
      <c r="AM302" s="7"/>
      <c r="AN302" s="7"/>
      <c r="AO302" s="7"/>
      <c r="AP302" s="7"/>
      <c r="AQ302" s="7"/>
      <c r="AR302" s="7"/>
      <c r="AS302" s="7"/>
      <c r="AT302" s="7"/>
      <c r="AU302" s="7"/>
      <c r="AV302" s="7"/>
    </row>
    <row r="303" spans="4:48" ht="13.9" customHeight="1">
      <c r="AE303" s="7"/>
      <c r="AF303" s="7"/>
      <c r="AG303" s="7"/>
      <c r="AH303" s="7"/>
      <c r="AI303" s="7"/>
      <c r="AJ303" s="7"/>
      <c r="AK303" s="7"/>
      <c r="AL303" s="7"/>
      <c r="AM303" s="7"/>
      <c r="AN303" s="7"/>
      <c r="AO303" s="7"/>
      <c r="AP303" s="7"/>
      <c r="AQ303" s="7"/>
      <c r="AR303" s="7"/>
      <c r="AS303" s="7"/>
      <c r="AT303" s="7"/>
      <c r="AU303" s="7"/>
      <c r="AV303" s="7"/>
    </row>
    <row r="304" spans="4:48" ht="13.9" customHeight="1">
      <c r="D304" s="32"/>
      <c r="AE304" s="7"/>
      <c r="AF304" s="7"/>
      <c r="AG304" s="7"/>
      <c r="AH304" s="7"/>
      <c r="AI304" s="7"/>
      <c r="AJ304" s="7"/>
      <c r="AK304" s="7"/>
      <c r="AL304" s="7"/>
      <c r="AM304" s="7"/>
      <c r="AN304" s="7"/>
      <c r="AO304" s="7"/>
      <c r="AP304" s="7"/>
      <c r="AQ304" s="7"/>
      <c r="AR304" s="7"/>
      <c r="AS304" s="7"/>
      <c r="AT304" s="7"/>
      <c r="AU304" s="7"/>
      <c r="AV304" s="7"/>
    </row>
    <row r="305" spans="31:48" ht="13.9" customHeight="1">
      <c r="AE305" s="7"/>
      <c r="AF305" s="7"/>
      <c r="AG305" s="7"/>
      <c r="AH305" s="7"/>
      <c r="AI305" s="7"/>
      <c r="AJ305" s="7"/>
      <c r="AK305" s="7"/>
      <c r="AL305" s="7"/>
      <c r="AM305" s="7"/>
      <c r="AN305" s="7"/>
      <c r="AO305" s="7"/>
      <c r="AP305" s="7"/>
      <c r="AQ305" s="7"/>
      <c r="AR305" s="7"/>
      <c r="AS305" s="7"/>
      <c r="AT305" s="7"/>
      <c r="AU305" s="7"/>
      <c r="AV305" s="7"/>
    </row>
    <row r="306" spans="31:48" ht="13.9" customHeight="1">
      <c r="AE306" s="7"/>
      <c r="AF306" s="7"/>
      <c r="AG306" s="7"/>
      <c r="AH306" s="7"/>
      <c r="AI306" s="7"/>
      <c r="AJ306" s="7"/>
      <c r="AK306" s="7"/>
      <c r="AL306" s="7"/>
      <c r="AM306" s="7"/>
      <c r="AN306" s="7"/>
      <c r="AO306" s="7"/>
      <c r="AP306" s="7"/>
      <c r="AQ306" s="7"/>
      <c r="AR306" s="7"/>
      <c r="AS306" s="7"/>
      <c r="AT306" s="7"/>
      <c r="AU306" s="7"/>
      <c r="AV306" s="130"/>
    </row>
    <row r="307" spans="31:48" ht="13.9" customHeight="1">
      <c r="AE307" s="7"/>
      <c r="AF307" s="7"/>
      <c r="AG307" s="7"/>
      <c r="AH307" s="7"/>
      <c r="AI307" s="7"/>
      <c r="AJ307" s="7"/>
      <c r="AK307" s="7"/>
      <c r="AL307" s="7"/>
      <c r="AM307" s="7"/>
      <c r="AN307" s="7"/>
      <c r="AO307" s="7"/>
      <c r="AP307" s="7"/>
      <c r="AQ307" s="7"/>
      <c r="AR307" s="7"/>
      <c r="AS307" s="7"/>
      <c r="AT307" s="7"/>
      <c r="AU307" s="7"/>
      <c r="AV307" s="130"/>
    </row>
    <row r="308" spans="31:48" ht="13.9" customHeight="1">
      <c r="AE308" s="7"/>
      <c r="AF308" s="7"/>
      <c r="AG308" s="7"/>
      <c r="AH308" s="7"/>
      <c r="AI308" s="7"/>
      <c r="AJ308" s="7"/>
      <c r="AK308" s="7"/>
      <c r="AL308" s="7"/>
      <c r="AM308" s="7"/>
      <c r="AN308" s="7"/>
      <c r="AO308" s="7"/>
      <c r="AP308" s="7"/>
      <c r="AQ308" s="7"/>
      <c r="AR308" s="7"/>
      <c r="AS308" s="7"/>
      <c r="AT308" s="7"/>
      <c r="AU308" s="7"/>
      <c r="AV308" s="7"/>
    </row>
    <row r="309" spans="31:48" ht="13.9" customHeight="1">
      <c r="AE309" s="7"/>
      <c r="AF309" s="7"/>
      <c r="AG309" s="7"/>
      <c r="AH309" s="7"/>
      <c r="AI309" s="7"/>
      <c r="AJ309" s="7"/>
      <c r="AK309" s="7"/>
      <c r="AL309" s="7"/>
      <c r="AM309" s="7"/>
      <c r="AN309" s="7"/>
      <c r="AO309" s="7"/>
      <c r="AP309" s="7"/>
      <c r="AQ309" s="7"/>
      <c r="AR309" s="7"/>
      <c r="AS309" s="7"/>
      <c r="AT309" s="7"/>
      <c r="AU309" s="7"/>
      <c r="AV309" s="7"/>
    </row>
    <row r="310" spans="31:48" ht="13.9" customHeight="1">
      <c r="AE310" s="130"/>
      <c r="AF310" s="130"/>
      <c r="AG310" s="130"/>
      <c r="AH310" s="130"/>
      <c r="AI310" s="130"/>
      <c r="AJ310" s="130"/>
      <c r="AK310" s="130"/>
      <c r="AL310" s="7"/>
      <c r="AM310" s="7"/>
      <c r="AN310" s="7"/>
      <c r="AO310" s="7"/>
      <c r="AP310" s="7"/>
      <c r="AQ310" s="7"/>
      <c r="AR310" s="7"/>
      <c r="AS310" s="7"/>
      <c r="AT310" s="7"/>
      <c r="AU310" s="7"/>
      <c r="AV310" s="7"/>
    </row>
    <row r="311" spans="31:48" ht="13.9" customHeight="1">
      <c r="AE311" s="130"/>
      <c r="AF311" s="130"/>
      <c r="AG311" s="130"/>
      <c r="AH311" s="130"/>
      <c r="AI311" s="130"/>
      <c r="AJ311" s="130"/>
      <c r="AK311" s="130"/>
      <c r="AL311" s="7"/>
      <c r="AM311" s="7"/>
      <c r="AN311" s="7"/>
      <c r="AO311" s="7"/>
      <c r="AP311" s="7"/>
      <c r="AQ311" s="7"/>
      <c r="AR311" s="7"/>
      <c r="AS311" s="7"/>
      <c r="AT311" s="7"/>
      <c r="AU311" s="7"/>
      <c r="AV311" s="7"/>
    </row>
    <row r="312" spans="31:48" ht="13.9" customHeight="1">
      <c r="AE312" s="7"/>
      <c r="AF312" s="7"/>
      <c r="AG312" s="7"/>
      <c r="AH312" s="7"/>
      <c r="AI312" s="7"/>
      <c r="AJ312" s="7"/>
      <c r="AK312" s="7"/>
      <c r="AL312" s="7"/>
      <c r="AM312" s="7"/>
      <c r="AN312" s="7"/>
      <c r="AO312" s="7"/>
      <c r="AP312" s="7"/>
      <c r="AQ312" s="7"/>
      <c r="AR312" s="7"/>
      <c r="AS312" s="7"/>
      <c r="AT312" s="7"/>
      <c r="AU312" s="7"/>
      <c r="AV312" s="7"/>
    </row>
    <row r="313" spans="31:48" ht="13.9" customHeight="1">
      <c r="AE313" s="7"/>
      <c r="AF313" s="7"/>
      <c r="AG313" s="7"/>
      <c r="AH313" s="7"/>
      <c r="AI313" s="7"/>
      <c r="AJ313" s="7"/>
      <c r="AK313" s="7"/>
      <c r="AL313" s="7"/>
      <c r="AM313" s="7"/>
      <c r="AN313" s="7"/>
      <c r="AO313" s="7"/>
      <c r="AP313" s="7"/>
      <c r="AQ313" s="7"/>
      <c r="AR313" s="7"/>
      <c r="AS313" s="7"/>
      <c r="AT313" s="7"/>
      <c r="AU313" s="7"/>
      <c r="AV313" s="7"/>
    </row>
    <row r="314" spans="31:48" ht="13.9" customHeight="1">
      <c r="AE314" s="168"/>
      <c r="AF314" s="7"/>
      <c r="AG314" s="7"/>
      <c r="AH314" s="7"/>
      <c r="AI314" s="7"/>
      <c r="AJ314" s="7"/>
      <c r="AK314" s="7"/>
      <c r="AL314" s="7"/>
      <c r="AM314" s="7"/>
      <c r="AN314" s="7"/>
      <c r="AO314" s="7"/>
      <c r="AP314" s="7"/>
      <c r="AQ314" s="7"/>
      <c r="AR314" s="7"/>
      <c r="AS314" s="7"/>
      <c r="AT314" s="7"/>
      <c r="AU314" s="7"/>
      <c r="AV314" s="7"/>
    </row>
    <row r="315" spans="31:48" ht="13.9" customHeight="1">
      <c r="AE315" s="7"/>
      <c r="AF315" s="7"/>
      <c r="AG315" s="7"/>
      <c r="AH315" s="7"/>
      <c r="AI315" s="7"/>
      <c r="AJ315" s="7"/>
      <c r="AK315" s="7"/>
      <c r="AL315" s="7"/>
      <c r="AM315" s="7"/>
      <c r="AN315" s="7"/>
      <c r="AO315" s="7"/>
      <c r="AP315" s="7"/>
      <c r="AQ315" s="7"/>
      <c r="AR315" s="7"/>
      <c r="AS315" s="7"/>
      <c r="AT315" s="7"/>
      <c r="AU315" s="7"/>
      <c r="AV315" s="7"/>
    </row>
    <row r="316" spans="31:48" ht="13.9" customHeight="1">
      <c r="AE316" s="7"/>
      <c r="AF316" s="7"/>
      <c r="AG316" s="7"/>
      <c r="AH316" s="7"/>
      <c r="AI316" s="7"/>
      <c r="AJ316" s="7"/>
      <c r="AK316" s="7"/>
      <c r="AL316" s="7"/>
      <c r="AM316" s="7"/>
      <c r="AN316" s="7"/>
      <c r="AO316" s="7"/>
      <c r="AP316" s="7"/>
      <c r="AQ316" s="7"/>
      <c r="AR316" s="7"/>
      <c r="AS316" s="7"/>
      <c r="AT316" s="7"/>
      <c r="AU316" s="7"/>
      <c r="AV316" s="7"/>
    </row>
    <row r="317" spans="31:48" ht="13.9" customHeight="1">
      <c r="AE317" s="7"/>
      <c r="AF317" s="7"/>
      <c r="AG317" s="7"/>
      <c r="AH317" s="7"/>
      <c r="AI317" s="7"/>
      <c r="AJ317" s="7"/>
      <c r="AK317" s="7"/>
      <c r="AL317" s="7"/>
      <c r="AM317" s="7"/>
      <c r="AN317" s="7"/>
      <c r="AO317" s="7"/>
      <c r="AP317" s="7"/>
      <c r="AQ317" s="7"/>
      <c r="AR317" s="7"/>
      <c r="AS317" s="7"/>
      <c r="AT317" s="7"/>
      <c r="AU317" s="7"/>
      <c r="AV317" s="7"/>
    </row>
    <row r="318" spans="31:48" ht="13.9" customHeight="1">
      <c r="AE318" s="7"/>
      <c r="AF318" s="7"/>
      <c r="AG318" s="7"/>
      <c r="AH318" s="7"/>
      <c r="AI318" s="7"/>
      <c r="AJ318" s="7"/>
      <c r="AK318" s="7"/>
      <c r="AL318" s="130"/>
      <c r="AM318" s="130"/>
      <c r="AN318" s="130"/>
      <c r="AO318" s="130"/>
      <c r="AP318" s="130"/>
      <c r="AQ318" s="130"/>
      <c r="AR318" s="130"/>
      <c r="AS318" s="130"/>
      <c r="AT318" s="130"/>
      <c r="AU318" s="130"/>
      <c r="AV318" s="7"/>
    </row>
    <row r="319" spans="31:48" ht="13.9" customHeight="1">
      <c r="AE319" s="7"/>
      <c r="AF319" s="7"/>
      <c r="AG319" s="7"/>
      <c r="AH319" s="7"/>
      <c r="AI319" s="7"/>
      <c r="AJ319" s="7"/>
      <c r="AK319" s="7"/>
      <c r="AL319" s="130"/>
      <c r="AM319" s="130"/>
      <c r="AN319" s="130"/>
      <c r="AO319" s="130"/>
      <c r="AP319" s="130"/>
      <c r="AQ319" s="130"/>
      <c r="AR319" s="130"/>
      <c r="AS319" s="130"/>
      <c r="AT319" s="130"/>
      <c r="AU319" s="130"/>
      <c r="AV319" s="7"/>
    </row>
    <row r="320" spans="31:48" ht="13.9" customHeight="1">
      <c r="AE320" s="7"/>
      <c r="AF320" s="7"/>
      <c r="AG320" s="7"/>
      <c r="AH320" s="7"/>
      <c r="AI320" s="7"/>
      <c r="AJ320" s="7"/>
      <c r="AK320" s="7"/>
      <c r="AL320" s="7"/>
      <c r="AM320" s="7"/>
      <c r="AN320" s="7"/>
      <c r="AO320" s="7"/>
      <c r="AP320" s="7"/>
      <c r="AQ320" s="7"/>
      <c r="AR320" s="7"/>
      <c r="AS320" s="7"/>
      <c r="AT320" s="7"/>
      <c r="AU320" s="7"/>
      <c r="AV320" s="7"/>
    </row>
    <row r="321" spans="4:48" ht="13.9" customHeight="1">
      <c r="AE321" s="7"/>
      <c r="AF321" s="7"/>
      <c r="AG321" s="7"/>
      <c r="AH321" s="7"/>
      <c r="AI321" s="7"/>
      <c r="AJ321" s="7"/>
      <c r="AK321" s="7"/>
      <c r="AL321" s="7"/>
      <c r="AM321" s="7"/>
      <c r="AN321" s="7"/>
      <c r="AO321" s="7"/>
      <c r="AP321" s="7"/>
      <c r="AQ321" s="7"/>
      <c r="AR321" s="7"/>
      <c r="AS321" s="7"/>
      <c r="AT321" s="7"/>
      <c r="AU321" s="7"/>
      <c r="AV321" s="7"/>
    </row>
    <row r="322" spans="4:48" ht="13.9" customHeight="1">
      <c r="AE322" s="7"/>
      <c r="AF322" s="7"/>
      <c r="AG322" s="7"/>
      <c r="AH322" s="7"/>
      <c r="AI322" s="7"/>
      <c r="AJ322" s="7"/>
      <c r="AK322" s="7"/>
      <c r="AL322" s="7"/>
      <c r="AM322" s="7"/>
      <c r="AN322" s="7"/>
      <c r="AO322" s="7"/>
      <c r="AP322" s="7"/>
      <c r="AQ322" s="7"/>
      <c r="AR322" s="7"/>
      <c r="AS322" s="7"/>
      <c r="AT322" s="7"/>
      <c r="AU322" s="7"/>
      <c r="AV322" s="7"/>
    </row>
    <row r="323" spans="4:48" ht="13.9" customHeight="1">
      <c r="AE323" s="7"/>
      <c r="AF323" s="7"/>
      <c r="AG323" s="7"/>
      <c r="AH323" s="7"/>
      <c r="AI323" s="7"/>
      <c r="AJ323" s="7"/>
      <c r="AK323" s="7"/>
      <c r="AL323" s="7"/>
      <c r="AM323" s="7"/>
      <c r="AN323" s="7"/>
      <c r="AO323" s="7"/>
      <c r="AP323" s="7"/>
      <c r="AQ323" s="7"/>
      <c r="AR323" s="7"/>
      <c r="AS323" s="7"/>
      <c r="AT323" s="7"/>
      <c r="AU323" s="7"/>
      <c r="AV323" s="7"/>
    </row>
    <row r="324" spans="4:48" ht="13.9" customHeight="1">
      <c r="AE324" s="7"/>
      <c r="AF324" s="7"/>
      <c r="AG324" s="7"/>
      <c r="AH324" s="7"/>
      <c r="AI324" s="7"/>
      <c r="AJ324" s="7"/>
      <c r="AK324" s="7"/>
      <c r="AL324" s="7"/>
      <c r="AM324" s="7"/>
      <c r="AN324" s="7"/>
      <c r="AO324" s="7"/>
      <c r="AP324" s="7"/>
      <c r="AQ324" s="7"/>
      <c r="AR324" s="7"/>
      <c r="AS324" s="7"/>
      <c r="AT324" s="7"/>
      <c r="AU324" s="7"/>
      <c r="AV324" s="7"/>
    </row>
    <row r="325" spans="4:48" ht="13.9" customHeight="1">
      <c r="AE325" s="7"/>
      <c r="AF325" s="7"/>
      <c r="AG325" s="7"/>
      <c r="AH325" s="7"/>
      <c r="AI325" s="7"/>
      <c r="AJ325" s="7"/>
      <c r="AK325" s="7"/>
      <c r="AL325" s="7"/>
      <c r="AM325" s="7"/>
      <c r="AN325" s="7"/>
      <c r="AO325" s="7"/>
      <c r="AP325" s="7"/>
      <c r="AQ325" s="7"/>
      <c r="AR325" s="7"/>
      <c r="AS325" s="7"/>
      <c r="AT325" s="7"/>
      <c r="AU325" s="7"/>
      <c r="AV325" s="7"/>
    </row>
    <row r="326" spans="4:48" ht="13.9" customHeight="1">
      <c r="AE326" s="7"/>
      <c r="AF326" s="7"/>
      <c r="AG326" s="7"/>
      <c r="AH326" s="7"/>
      <c r="AI326" s="7"/>
      <c r="AJ326" s="7"/>
      <c r="AK326" s="7"/>
      <c r="AL326" s="7"/>
      <c r="AM326" s="7"/>
      <c r="AN326" s="7"/>
      <c r="AO326" s="7"/>
      <c r="AP326" s="7"/>
      <c r="AQ326" s="7"/>
      <c r="AR326" s="7"/>
      <c r="AS326" s="7"/>
      <c r="AT326" s="7"/>
      <c r="AU326" s="7"/>
      <c r="AV326" s="7"/>
    </row>
    <row r="327" spans="4:48" ht="13.9" customHeight="1">
      <c r="AE327" s="7"/>
      <c r="AF327" s="7"/>
      <c r="AG327" s="7"/>
      <c r="AH327" s="7"/>
      <c r="AI327" s="7"/>
      <c r="AJ327" s="7"/>
      <c r="AK327" s="7"/>
      <c r="AL327" s="7"/>
      <c r="AM327" s="7"/>
      <c r="AN327" s="7"/>
      <c r="AO327" s="7"/>
      <c r="AP327" s="7"/>
      <c r="AQ327" s="7"/>
      <c r="AR327" s="7"/>
      <c r="AS327" s="7"/>
      <c r="AT327" s="7"/>
      <c r="AU327" s="7"/>
      <c r="AV327" s="7"/>
    </row>
    <row r="328" spans="4:48" ht="13.9" customHeight="1">
      <c r="AE328" s="7"/>
      <c r="AF328" s="7"/>
      <c r="AG328" s="7"/>
      <c r="AH328" s="7"/>
      <c r="AI328" s="7"/>
      <c r="AJ328" s="7"/>
      <c r="AK328" s="7"/>
      <c r="AL328" s="7"/>
      <c r="AM328" s="7"/>
      <c r="AN328" s="7"/>
      <c r="AO328" s="7"/>
      <c r="AP328" s="7"/>
      <c r="AQ328" s="7"/>
      <c r="AR328" s="7"/>
      <c r="AS328" s="7"/>
      <c r="AT328" s="7"/>
      <c r="AU328" s="7"/>
      <c r="AV328" s="7"/>
    </row>
    <row r="329" spans="4:48" ht="13.9" customHeight="1">
      <c r="AE329" s="7"/>
      <c r="AF329" s="7"/>
      <c r="AG329" s="7"/>
      <c r="AH329" s="7"/>
      <c r="AI329" s="7"/>
      <c r="AJ329" s="7"/>
      <c r="AK329" s="7"/>
      <c r="AL329" s="7"/>
      <c r="AM329" s="7"/>
      <c r="AN329" s="7"/>
      <c r="AO329" s="7"/>
      <c r="AP329" s="7"/>
      <c r="AQ329" s="7"/>
      <c r="AR329" s="7"/>
      <c r="AS329" s="7"/>
      <c r="AT329" s="7"/>
      <c r="AU329" s="7"/>
      <c r="AV329" s="7"/>
    </row>
    <row r="330" spans="4:48" ht="13.9" customHeight="1">
      <c r="AE330" s="7"/>
      <c r="AF330" s="7"/>
      <c r="AG330" s="7"/>
      <c r="AH330" s="7"/>
      <c r="AI330" s="7"/>
      <c r="AJ330" s="7"/>
      <c r="AK330" s="7"/>
      <c r="AL330" s="7"/>
      <c r="AM330" s="7"/>
      <c r="AN330" s="7"/>
      <c r="AO330" s="7"/>
      <c r="AP330" s="7"/>
      <c r="AQ330" s="7"/>
      <c r="AR330" s="7"/>
      <c r="AS330" s="7"/>
      <c r="AT330" s="7"/>
      <c r="AU330" s="7"/>
      <c r="AV330" s="7"/>
    </row>
    <row r="331" spans="4:48" ht="13.9" customHeight="1">
      <c r="AE331" s="7"/>
      <c r="AF331" s="7"/>
      <c r="AG331" s="7"/>
      <c r="AH331" s="7"/>
      <c r="AI331" s="7"/>
      <c r="AJ331" s="7"/>
      <c r="AK331" s="7"/>
      <c r="AL331" s="7"/>
      <c r="AM331" s="7"/>
      <c r="AN331" s="7"/>
      <c r="AO331" s="7"/>
      <c r="AP331" s="7"/>
      <c r="AQ331" s="7"/>
      <c r="AR331" s="7"/>
      <c r="AS331" s="7"/>
      <c r="AT331" s="7"/>
      <c r="AU331" s="7"/>
      <c r="AV331" s="7"/>
    </row>
    <row r="332" spans="4:48" ht="13.9" customHeight="1">
      <c r="AE332" s="7"/>
      <c r="AF332" s="7"/>
      <c r="AG332" s="7"/>
      <c r="AH332" s="7"/>
      <c r="AI332" s="7"/>
      <c r="AJ332" s="7"/>
      <c r="AK332" s="7"/>
      <c r="AL332" s="7"/>
      <c r="AM332" s="7"/>
      <c r="AN332" s="7"/>
      <c r="AO332" s="7"/>
      <c r="AP332" s="7"/>
      <c r="AQ332" s="7"/>
      <c r="AR332" s="7"/>
      <c r="AS332" s="7"/>
      <c r="AT332" s="7"/>
      <c r="AU332" s="7"/>
      <c r="AV332" s="7"/>
    </row>
    <row r="333" spans="4:48" ht="13.9" customHeight="1">
      <c r="D333" s="32"/>
      <c r="AE333" s="7"/>
      <c r="AF333" s="7"/>
      <c r="AG333" s="7"/>
      <c r="AH333" s="7"/>
      <c r="AI333" s="7"/>
      <c r="AJ333" s="7"/>
      <c r="AK333" s="7"/>
      <c r="AL333" s="7"/>
      <c r="AM333" s="7"/>
      <c r="AN333" s="7"/>
      <c r="AO333" s="7"/>
      <c r="AP333" s="7"/>
      <c r="AQ333" s="7"/>
      <c r="AR333" s="7"/>
      <c r="AS333" s="7"/>
      <c r="AT333" s="7"/>
      <c r="AU333" s="7"/>
      <c r="AV333" s="7"/>
    </row>
    <row r="334" spans="4:48" ht="13.9" customHeight="1">
      <c r="AE334" s="7"/>
      <c r="AF334" s="7"/>
      <c r="AG334" s="7"/>
      <c r="AH334" s="7"/>
      <c r="AI334" s="7"/>
      <c r="AJ334" s="7"/>
      <c r="AK334" s="7"/>
      <c r="AL334" s="7"/>
      <c r="AM334" s="7"/>
      <c r="AN334" s="7"/>
      <c r="AO334" s="7"/>
      <c r="AP334" s="7"/>
      <c r="AQ334" s="7"/>
      <c r="AR334" s="7"/>
      <c r="AS334" s="7"/>
      <c r="AT334" s="7"/>
      <c r="AU334" s="7"/>
      <c r="AV334" s="7"/>
    </row>
    <row r="335" spans="4:48" ht="13.9" customHeight="1">
      <c r="AE335" s="7"/>
      <c r="AF335" s="7"/>
      <c r="AG335" s="7"/>
      <c r="AH335" s="7"/>
      <c r="AI335" s="7"/>
      <c r="AJ335" s="7"/>
      <c r="AK335" s="7"/>
      <c r="AL335" s="7"/>
      <c r="AM335" s="7"/>
      <c r="AN335" s="7"/>
      <c r="AO335" s="7"/>
      <c r="AP335" s="7"/>
      <c r="AQ335" s="7"/>
      <c r="AR335" s="7"/>
      <c r="AS335" s="7"/>
      <c r="AT335" s="7"/>
      <c r="AU335" s="7"/>
    </row>
    <row r="336" spans="4:48" ht="13.9" customHeight="1">
      <c r="AE336" s="7"/>
      <c r="AF336" s="7"/>
      <c r="AG336" s="7"/>
      <c r="AH336" s="7"/>
      <c r="AI336" s="7"/>
      <c r="AJ336" s="7"/>
      <c r="AK336" s="7"/>
      <c r="AL336" s="7"/>
      <c r="AM336" s="7"/>
      <c r="AN336" s="7"/>
      <c r="AO336" s="7"/>
      <c r="AP336" s="7"/>
      <c r="AQ336" s="7"/>
      <c r="AR336" s="7"/>
      <c r="AS336" s="7"/>
      <c r="AT336" s="7"/>
      <c r="AU336" s="7"/>
    </row>
    <row r="337" spans="31:47" ht="13.9" customHeight="1">
      <c r="AE337" s="7"/>
      <c r="AF337" s="7"/>
      <c r="AG337" s="7"/>
      <c r="AH337" s="7"/>
      <c r="AI337" s="7"/>
      <c r="AJ337" s="7"/>
      <c r="AK337" s="7"/>
      <c r="AL337" s="7"/>
      <c r="AM337" s="7"/>
      <c r="AN337" s="7"/>
      <c r="AO337" s="7"/>
      <c r="AP337" s="7"/>
      <c r="AQ337" s="7"/>
      <c r="AR337" s="7"/>
      <c r="AS337" s="7"/>
      <c r="AT337" s="7"/>
      <c r="AU337" s="7"/>
    </row>
    <row r="338" spans="31:47" ht="13.9" customHeight="1">
      <c r="AE338" s="7"/>
      <c r="AF338" s="7"/>
      <c r="AG338" s="7"/>
      <c r="AH338" s="7"/>
      <c r="AI338" s="7"/>
      <c r="AJ338" s="7"/>
      <c r="AK338" s="7"/>
      <c r="AL338" s="7"/>
      <c r="AM338" s="7"/>
      <c r="AN338" s="7"/>
      <c r="AO338" s="7"/>
      <c r="AP338" s="7"/>
      <c r="AQ338" s="7"/>
      <c r="AR338" s="7"/>
      <c r="AS338" s="7"/>
      <c r="AT338" s="7"/>
      <c r="AU338" s="7"/>
    </row>
    <row r="339" spans="31:47" ht="13.9" customHeight="1">
      <c r="AL339" s="7"/>
      <c r="AM339" s="7"/>
      <c r="AN339" s="7"/>
      <c r="AO339" s="7"/>
      <c r="AP339" s="7"/>
      <c r="AQ339" s="7"/>
      <c r="AR339" s="7"/>
      <c r="AS339" s="7"/>
      <c r="AT339" s="7"/>
      <c r="AU339" s="7"/>
    </row>
    <row r="340" spans="31:47" ht="13.9" customHeight="1">
      <c r="AL340" s="7"/>
      <c r="AM340" s="7"/>
      <c r="AN340" s="7"/>
      <c r="AO340" s="7"/>
      <c r="AP340" s="7"/>
      <c r="AQ340" s="7"/>
      <c r="AR340" s="7"/>
      <c r="AS340" s="7"/>
      <c r="AT340" s="7"/>
      <c r="AU340" s="7"/>
    </row>
    <row r="341" spans="31:47" ht="13.9" customHeight="1">
      <c r="AL341" s="7"/>
      <c r="AM341" s="7"/>
      <c r="AN341" s="7"/>
      <c r="AO341" s="7"/>
      <c r="AP341" s="7"/>
      <c r="AQ341" s="7"/>
      <c r="AR341" s="7"/>
      <c r="AS341" s="7"/>
      <c r="AT341" s="7"/>
      <c r="AU341" s="7"/>
    </row>
    <row r="342" spans="31:47" ht="13.9" customHeight="1">
      <c r="AL342" s="7"/>
      <c r="AM342" s="7"/>
      <c r="AN342" s="7"/>
      <c r="AO342" s="7"/>
      <c r="AP342" s="7"/>
      <c r="AQ342" s="7"/>
      <c r="AR342" s="7"/>
      <c r="AS342" s="7"/>
      <c r="AT342" s="7"/>
      <c r="AU342" s="7"/>
    </row>
    <row r="343" spans="31:47" ht="13.9" customHeight="1">
      <c r="AL343" s="7"/>
      <c r="AM343" s="7"/>
      <c r="AN343" s="7"/>
      <c r="AO343" s="7"/>
      <c r="AP343" s="7"/>
      <c r="AQ343" s="7"/>
      <c r="AR343" s="7"/>
      <c r="AS343" s="7"/>
      <c r="AT343" s="7"/>
      <c r="AU343" s="7"/>
    </row>
    <row r="344" spans="31:47" ht="13.9" customHeight="1">
      <c r="AL344" s="7"/>
      <c r="AM344" s="7"/>
      <c r="AN344" s="7"/>
      <c r="AO344" s="7"/>
      <c r="AP344" s="7"/>
      <c r="AQ344" s="7"/>
      <c r="AR344" s="7"/>
      <c r="AS344" s="7"/>
      <c r="AT344" s="7"/>
      <c r="AU344" s="7"/>
    </row>
    <row r="345" spans="31:47" ht="13.9" customHeight="1">
      <c r="AL345" s="7"/>
      <c r="AM345" s="7"/>
      <c r="AN345" s="7"/>
      <c r="AO345" s="7"/>
      <c r="AP345" s="7"/>
      <c r="AQ345" s="7"/>
      <c r="AR345" s="7"/>
      <c r="AS345" s="7"/>
      <c r="AT345" s="7"/>
      <c r="AU345" s="7"/>
    </row>
    <row r="346" spans="31:47" ht="13.9" customHeight="1">
      <c r="AL346" s="7"/>
      <c r="AM346" s="7"/>
      <c r="AN346" s="7"/>
      <c r="AO346" s="7"/>
      <c r="AP346" s="7"/>
      <c r="AQ346" s="7"/>
      <c r="AR346" s="7"/>
      <c r="AS346" s="7"/>
      <c r="AT346" s="7"/>
      <c r="AU346" s="7"/>
    </row>
    <row r="353" spans="5:48" ht="13.9" customHeight="1">
      <c r="AV353" s="7"/>
    </row>
    <row r="354" spans="5:48" ht="13.9" customHeight="1">
      <c r="AV354" s="7"/>
    </row>
    <row r="355" spans="5:48" ht="13.9" customHeight="1">
      <c r="AV355" s="7"/>
    </row>
    <row r="356" spans="5:48" ht="13.9" customHeight="1">
      <c r="AV356" s="7"/>
    </row>
    <row r="357" spans="5:48" ht="13.9" customHeight="1">
      <c r="AB357" s="7"/>
      <c r="AC357" s="7"/>
      <c r="AD357" s="7"/>
      <c r="AE357" s="7"/>
      <c r="AF357" s="7"/>
      <c r="AG357" s="7"/>
      <c r="AH357" s="7"/>
      <c r="AI357" s="7"/>
      <c r="AJ357" s="7"/>
      <c r="AK357" s="7"/>
      <c r="AV357" s="7"/>
    </row>
    <row r="358" spans="5:48" ht="13.9" customHeight="1">
      <c r="AB358" s="7"/>
      <c r="AC358" s="7"/>
      <c r="AD358" s="7"/>
      <c r="AE358" s="7"/>
      <c r="AF358" s="7"/>
      <c r="AG358" s="7"/>
      <c r="AH358" s="7"/>
      <c r="AI358" s="7"/>
      <c r="AJ358" s="7"/>
      <c r="AK358" s="7"/>
      <c r="AV358" s="7"/>
    </row>
    <row r="359" spans="5:48" ht="13.9" customHeight="1">
      <c r="AA359" s="7"/>
      <c r="AB359" s="7"/>
      <c r="AC359" s="7"/>
      <c r="AD359" s="7"/>
      <c r="AE359" s="7"/>
      <c r="AF359" s="7"/>
      <c r="AG359" s="7"/>
      <c r="AH359" s="7"/>
      <c r="AI359" s="7"/>
      <c r="AJ359" s="7"/>
      <c r="AK359" s="7"/>
      <c r="AV359" s="7"/>
    </row>
    <row r="360" spans="5:48" ht="13.9" customHeight="1">
      <c r="AA360" s="7"/>
      <c r="AB360" s="7"/>
      <c r="AC360" s="7"/>
      <c r="AD360" s="7"/>
      <c r="AE360" s="7"/>
      <c r="AF360" s="7"/>
      <c r="AG360" s="7"/>
      <c r="AH360" s="7"/>
      <c r="AI360" s="7"/>
      <c r="AJ360" s="7"/>
      <c r="AK360" s="7"/>
      <c r="AV360" s="7"/>
    </row>
    <row r="361" spans="5:48" ht="13.9" customHeight="1">
      <c r="AA361" s="7"/>
      <c r="AB361" s="7"/>
      <c r="AC361" s="7"/>
      <c r="AD361" s="7"/>
      <c r="AE361" s="7"/>
      <c r="AF361" s="7"/>
      <c r="AG361" s="7"/>
      <c r="AH361" s="7"/>
      <c r="AI361" s="7"/>
      <c r="AJ361" s="7"/>
      <c r="AK361" s="7"/>
      <c r="AV361" s="7"/>
    </row>
    <row r="362" spans="5:48" ht="13.9" customHeight="1">
      <c r="AA362" s="7"/>
      <c r="AB362" s="7"/>
      <c r="AC362" s="7"/>
      <c r="AD362" s="7"/>
      <c r="AE362" s="7"/>
      <c r="AF362" s="7"/>
      <c r="AG362" s="7"/>
      <c r="AH362" s="7"/>
      <c r="AI362" s="7"/>
      <c r="AJ362" s="7"/>
      <c r="AK362" s="7"/>
      <c r="AV362" s="7"/>
    </row>
    <row r="363" spans="5:48" ht="13.9" customHeight="1">
      <c r="E363" s="90"/>
      <c r="F363" s="90"/>
      <c r="G363" s="90"/>
      <c r="H363" s="90"/>
      <c r="I363" s="90"/>
      <c r="J363" s="90"/>
      <c r="K363" s="90"/>
      <c r="L363" s="90"/>
      <c r="M363" s="90"/>
      <c r="N363" s="90"/>
      <c r="AA363" s="7"/>
      <c r="AB363" s="7"/>
      <c r="AC363" s="7"/>
      <c r="AD363" s="7"/>
      <c r="AE363" s="7"/>
      <c r="AF363" s="7"/>
      <c r="AG363" s="7"/>
      <c r="AH363" s="7"/>
      <c r="AI363" s="7"/>
      <c r="AJ363" s="7"/>
      <c r="AK363" s="7"/>
      <c r="AV363" s="7"/>
    </row>
    <row r="364" spans="5:48" ht="13.9" customHeight="1">
      <c r="E364" s="95"/>
      <c r="F364" s="95"/>
      <c r="G364" s="95"/>
      <c r="H364" s="95"/>
      <c r="I364" s="95"/>
      <c r="J364" s="95"/>
      <c r="K364" s="95"/>
      <c r="L364" s="95"/>
      <c r="M364" s="95"/>
      <c r="N364" s="95"/>
      <c r="AA364" s="7"/>
      <c r="AB364" s="7"/>
      <c r="AC364" s="7"/>
      <c r="AD364" s="7"/>
      <c r="AE364" s="7"/>
      <c r="AF364" s="7"/>
      <c r="AG364" s="7"/>
      <c r="AH364" s="7"/>
      <c r="AI364" s="7"/>
      <c r="AJ364" s="7"/>
      <c r="AK364" s="7"/>
      <c r="AV364" s="7"/>
    </row>
    <row r="365" spans="5:48" ht="13.9" customHeight="1">
      <c r="E365" s="95"/>
      <c r="F365" s="95"/>
      <c r="G365" s="95"/>
      <c r="H365" s="95"/>
      <c r="I365" s="95"/>
      <c r="J365" s="95"/>
      <c r="K365" s="95"/>
      <c r="L365" s="95"/>
      <c r="M365" s="95"/>
      <c r="N365" s="95"/>
      <c r="AB365" s="7"/>
      <c r="AC365" s="7"/>
      <c r="AD365" s="7"/>
      <c r="AE365" s="7"/>
      <c r="AF365" s="7"/>
      <c r="AG365" s="7"/>
      <c r="AH365" s="7"/>
      <c r="AI365" s="7"/>
      <c r="AJ365" s="7"/>
      <c r="AK365" s="7"/>
      <c r="AL365" s="7"/>
      <c r="AM365" s="7"/>
      <c r="AN365" s="7"/>
      <c r="AO365" s="7"/>
      <c r="AP365" s="7"/>
      <c r="AQ365" s="7"/>
      <c r="AR365" s="7"/>
      <c r="AS365" s="7"/>
      <c r="AT365" s="7"/>
      <c r="AU365" s="7"/>
      <c r="AV365" s="7"/>
    </row>
    <row r="366" spans="5:48" ht="13.9" customHeight="1">
      <c r="E366" s="95"/>
      <c r="F366" s="95"/>
      <c r="G366" s="95"/>
      <c r="H366" s="95"/>
      <c r="I366" s="95"/>
      <c r="J366" s="95"/>
      <c r="K366" s="95"/>
      <c r="L366" s="95"/>
      <c r="M366" s="95"/>
      <c r="N366" s="95"/>
      <c r="AB366" s="7"/>
      <c r="AC366" s="7"/>
      <c r="AD366" s="7"/>
      <c r="AE366" s="7"/>
      <c r="AF366" s="7"/>
      <c r="AG366" s="7"/>
      <c r="AH366" s="7"/>
      <c r="AI366" s="7"/>
      <c r="AJ366" s="7"/>
      <c r="AK366" s="7"/>
      <c r="AL366" s="7"/>
      <c r="AM366" s="7"/>
      <c r="AN366" s="7"/>
      <c r="AO366" s="7"/>
      <c r="AP366" s="7"/>
      <c r="AQ366" s="7"/>
      <c r="AR366" s="7"/>
      <c r="AS366" s="7"/>
      <c r="AT366" s="7"/>
      <c r="AU366" s="7"/>
      <c r="AV366" s="7"/>
    </row>
    <row r="367" spans="5:48" ht="13.9" customHeight="1">
      <c r="E367" s="95"/>
      <c r="F367" s="95"/>
      <c r="G367" s="95"/>
      <c r="H367" s="95"/>
      <c r="I367" s="95"/>
      <c r="J367" s="95"/>
      <c r="K367" s="95"/>
      <c r="L367" s="95"/>
      <c r="M367" s="95"/>
      <c r="N367" s="95"/>
      <c r="AB367" s="7"/>
      <c r="AC367" s="7"/>
      <c r="AD367" s="7"/>
      <c r="AE367" s="7"/>
      <c r="AF367" s="7"/>
      <c r="AG367" s="7"/>
      <c r="AH367" s="7"/>
      <c r="AI367" s="7"/>
      <c r="AJ367" s="7"/>
      <c r="AK367" s="7"/>
      <c r="AL367" s="7"/>
      <c r="AM367" s="7"/>
      <c r="AN367" s="7"/>
      <c r="AO367" s="7"/>
      <c r="AP367" s="7"/>
      <c r="AQ367" s="7"/>
      <c r="AR367" s="7"/>
      <c r="AS367" s="7"/>
      <c r="AT367" s="7"/>
      <c r="AU367" s="7"/>
      <c r="AV367" s="7"/>
    </row>
    <row r="368" spans="5:48" ht="13.9" customHeight="1">
      <c r="E368" s="95"/>
      <c r="F368" s="95"/>
      <c r="G368" s="95"/>
      <c r="H368" s="95"/>
      <c r="I368" s="95"/>
      <c r="J368" s="95"/>
      <c r="K368" s="95"/>
      <c r="L368" s="95"/>
      <c r="M368" s="95"/>
      <c r="N368" s="95"/>
      <c r="AB368" s="7"/>
      <c r="AC368" s="7"/>
      <c r="AD368" s="7"/>
      <c r="AE368" s="7"/>
      <c r="AF368" s="7"/>
      <c r="AG368" s="7"/>
      <c r="AH368" s="7"/>
      <c r="AI368" s="7"/>
      <c r="AJ368" s="7"/>
      <c r="AK368" s="7"/>
      <c r="AL368" s="7"/>
      <c r="AM368" s="7"/>
      <c r="AN368" s="7"/>
      <c r="AO368" s="7"/>
      <c r="AP368" s="7"/>
      <c r="AQ368" s="7"/>
      <c r="AR368" s="7"/>
      <c r="AS368" s="7"/>
      <c r="AT368" s="7"/>
      <c r="AU368" s="7"/>
      <c r="AV368" s="7"/>
    </row>
    <row r="369" spans="5:48" ht="13.9" customHeight="1">
      <c r="E369" s="95"/>
      <c r="F369" s="95"/>
      <c r="G369" s="95"/>
      <c r="H369" s="95"/>
      <c r="I369" s="95"/>
      <c r="J369" s="95"/>
      <c r="K369" s="95"/>
      <c r="L369" s="95"/>
      <c r="M369" s="95"/>
      <c r="N369" s="95"/>
      <c r="AB369" s="7"/>
      <c r="AC369" s="7"/>
      <c r="AD369" s="7"/>
      <c r="AE369" s="7"/>
      <c r="AF369" s="7"/>
      <c r="AG369" s="7"/>
      <c r="AH369" s="7"/>
      <c r="AI369" s="7"/>
      <c r="AJ369" s="7"/>
      <c r="AK369" s="7"/>
      <c r="AL369" s="7"/>
      <c r="AM369" s="7"/>
      <c r="AN369" s="7"/>
      <c r="AO369" s="7"/>
      <c r="AP369" s="7"/>
      <c r="AQ369" s="7"/>
      <c r="AR369" s="7"/>
      <c r="AS369" s="7"/>
      <c r="AT369" s="7"/>
      <c r="AU369" s="7"/>
      <c r="AV369" s="7"/>
    </row>
    <row r="370" spans="5:48" ht="13.9" customHeight="1">
      <c r="AB370" s="7"/>
      <c r="AC370" s="7"/>
      <c r="AD370" s="7"/>
      <c r="AE370" s="7"/>
      <c r="AF370" s="7"/>
      <c r="AG370" s="7"/>
      <c r="AH370" s="7"/>
      <c r="AI370" s="7"/>
      <c r="AJ370" s="7"/>
      <c r="AK370" s="7"/>
      <c r="AL370" s="7"/>
      <c r="AM370" s="7"/>
      <c r="AN370" s="7"/>
      <c r="AO370" s="7"/>
      <c r="AP370" s="7"/>
      <c r="AQ370" s="7"/>
      <c r="AR370" s="7"/>
      <c r="AS370" s="7"/>
      <c r="AT370" s="7"/>
      <c r="AU370" s="7"/>
      <c r="AV370" s="7"/>
    </row>
    <row r="371" spans="5:48" ht="13.9" customHeight="1">
      <c r="AB371" s="7"/>
      <c r="AC371" s="7"/>
      <c r="AD371" s="7"/>
      <c r="AE371" s="7"/>
      <c r="AF371" s="7"/>
      <c r="AG371" s="7"/>
      <c r="AH371" s="7"/>
      <c r="AI371" s="7"/>
      <c r="AJ371" s="7"/>
      <c r="AK371" s="7"/>
      <c r="AL371" s="7"/>
      <c r="AM371" s="7"/>
      <c r="AN371" s="7"/>
      <c r="AO371" s="7"/>
      <c r="AP371" s="7"/>
      <c r="AQ371" s="7"/>
      <c r="AR371" s="7"/>
      <c r="AS371" s="7"/>
      <c r="AT371" s="7"/>
      <c r="AU371" s="7"/>
      <c r="AV371" s="7"/>
    </row>
    <row r="372" spans="5:48" ht="13.9" customHeight="1">
      <c r="AB372" s="7"/>
      <c r="AC372" s="7"/>
      <c r="AD372" s="7"/>
      <c r="AE372" s="7"/>
      <c r="AF372" s="7"/>
      <c r="AG372" s="7"/>
      <c r="AH372" s="7"/>
      <c r="AI372" s="7"/>
      <c r="AJ372" s="7"/>
      <c r="AK372" s="7"/>
      <c r="AL372" s="7"/>
      <c r="AM372" s="7"/>
      <c r="AN372" s="7"/>
      <c r="AO372" s="7"/>
      <c r="AP372" s="7"/>
      <c r="AQ372" s="7"/>
      <c r="AR372" s="7"/>
      <c r="AS372" s="7"/>
      <c r="AT372" s="7"/>
      <c r="AU372" s="7"/>
      <c r="AV372" s="7"/>
    </row>
    <row r="373" spans="5:48" ht="13.9" customHeight="1">
      <c r="AB373" s="7"/>
      <c r="AC373" s="7"/>
      <c r="AD373" s="7"/>
      <c r="AE373" s="7"/>
      <c r="AF373" s="7"/>
      <c r="AG373" s="7"/>
      <c r="AH373" s="7"/>
      <c r="AI373" s="7"/>
      <c r="AJ373" s="7"/>
      <c r="AK373" s="7"/>
      <c r="AL373" s="7"/>
      <c r="AM373" s="7"/>
      <c r="AN373" s="7"/>
      <c r="AO373" s="7"/>
      <c r="AP373" s="7"/>
      <c r="AQ373" s="7"/>
      <c r="AR373" s="7"/>
      <c r="AS373" s="7"/>
      <c r="AT373" s="7"/>
      <c r="AU373" s="7"/>
    </row>
    <row r="374" spans="5:48" ht="13.9" customHeight="1">
      <c r="AB374" s="7"/>
      <c r="AC374" s="7"/>
      <c r="AD374" s="7"/>
      <c r="AE374" s="7"/>
      <c r="AF374" s="7"/>
      <c r="AG374" s="7"/>
      <c r="AH374" s="7"/>
      <c r="AI374" s="7"/>
      <c r="AJ374" s="7"/>
      <c r="AK374" s="7"/>
      <c r="AL374" s="7"/>
      <c r="AM374" s="7"/>
      <c r="AN374" s="7"/>
      <c r="AO374" s="7"/>
      <c r="AP374" s="7"/>
      <c r="AQ374" s="7"/>
      <c r="AR374" s="7"/>
      <c r="AS374" s="7"/>
      <c r="AT374" s="7"/>
      <c r="AU374" s="7"/>
    </row>
    <row r="375" spans="5:48" ht="13.9" customHeight="1">
      <c r="AB375" s="7"/>
      <c r="AC375" s="7"/>
      <c r="AD375" s="7"/>
      <c r="AE375" s="7"/>
      <c r="AF375" s="7"/>
      <c r="AG375" s="7"/>
      <c r="AH375" s="7"/>
      <c r="AI375" s="7"/>
      <c r="AJ375" s="7"/>
      <c r="AK375" s="7"/>
      <c r="AL375" s="7"/>
      <c r="AM375" s="7"/>
      <c r="AN375" s="7"/>
      <c r="AO375" s="7"/>
      <c r="AP375" s="7"/>
      <c r="AQ375" s="7"/>
      <c r="AR375" s="7"/>
      <c r="AS375" s="7"/>
      <c r="AT375" s="7"/>
      <c r="AU375" s="7"/>
    </row>
    <row r="376" spans="5:48" ht="13.9" customHeight="1">
      <c r="AA376" s="7"/>
      <c r="AB376" s="7"/>
      <c r="AC376" s="7"/>
      <c r="AD376" s="7"/>
      <c r="AE376" s="7"/>
      <c r="AF376" s="7"/>
      <c r="AG376" s="7"/>
      <c r="AH376" s="7"/>
      <c r="AI376" s="7"/>
      <c r="AJ376" s="7"/>
      <c r="AK376" s="7"/>
      <c r="AL376" s="7"/>
      <c r="AM376" s="7"/>
      <c r="AN376" s="7"/>
      <c r="AO376" s="7"/>
      <c r="AP376" s="7"/>
      <c r="AQ376" s="7"/>
      <c r="AR376" s="7"/>
      <c r="AS376" s="7"/>
      <c r="AT376" s="7"/>
      <c r="AU376" s="7"/>
    </row>
    <row r="377" spans="5:48" ht="13.9" customHeight="1">
      <c r="AA377" s="7"/>
      <c r="AL377" s="7"/>
      <c r="AM377" s="7"/>
      <c r="AN377" s="7"/>
      <c r="AO377" s="7"/>
      <c r="AP377" s="7"/>
      <c r="AQ377" s="7"/>
      <c r="AR377" s="7"/>
      <c r="AS377" s="7"/>
      <c r="AT377" s="7"/>
      <c r="AU377" s="7"/>
    </row>
    <row r="378" spans="5:48" ht="13.9" customHeight="1">
      <c r="AA378" s="7"/>
      <c r="AL378" s="7"/>
      <c r="AM378" s="7"/>
      <c r="AN378" s="7"/>
      <c r="AO378" s="7"/>
      <c r="AP378" s="7"/>
      <c r="AQ378" s="7"/>
      <c r="AR378" s="7"/>
      <c r="AS378" s="7"/>
      <c r="AT378" s="7"/>
      <c r="AU378" s="7"/>
    </row>
    <row r="379" spans="5:48" ht="13.9" customHeight="1">
      <c r="AA379" s="7"/>
      <c r="AL379" s="7"/>
      <c r="AM379" s="7"/>
      <c r="AN379" s="7"/>
      <c r="AO379" s="7"/>
      <c r="AP379" s="7"/>
      <c r="AQ379" s="7"/>
      <c r="AR379" s="7"/>
      <c r="AS379" s="7"/>
      <c r="AT379" s="7"/>
      <c r="AU379" s="7"/>
    </row>
    <row r="380" spans="5:48" ht="13.9" customHeight="1">
      <c r="AA380" s="7"/>
      <c r="AL380" s="7"/>
      <c r="AM380" s="7"/>
      <c r="AN380" s="7"/>
      <c r="AO380" s="7"/>
      <c r="AP380" s="7"/>
      <c r="AQ380" s="7"/>
      <c r="AR380" s="7"/>
      <c r="AS380" s="7"/>
      <c r="AT380" s="7"/>
      <c r="AU380" s="7"/>
    </row>
    <row r="381" spans="5:48" ht="13.9" customHeight="1">
      <c r="AA381" s="7"/>
      <c r="AL381" s="7"/>
      <c r="AM381" s="7"/>
      <c r="AN381" s="7"/>
      <c r="AO381" s="7"/>
      <c r="AP381" s="7"/>
      <c r="AQ381" s="7"/>
      <c r="AR381" s="7"/>
      <c r="AS381" s="7"/>
      <c r="AT381" s="7"/>
      <c r="AU381" s="7"/>
    </row>
    <row r="382" spans="5:48" ht="13.9" customHeight="1">
      <c r="AA382" s="7"/>
      <c r="AL382" s="7"/>
      <c r="AM382" s="7"/>
      <c r="AN382" s="7"/>
      <c r="AO382" s="7"/>
      <c r="AP382" s="7"/>
      <c r="AQ382" s="7"/>
      <c r="AR382" s="7"/>
      <c r="AS382" s="7"/>
      <c r="AT382" s="7"/>
      <c r="AU382" s="7"/>
    </row>
    <row r="383" spans="5:48" ht="13.9" customHeight="1">
      <c r="AA383" s="7"/>
      <c r="AL383" s="7"/>
      <c r="AM383" s="7"/>
      <c r="AN383" s="7"/>
      <c r="AO383" s="7"/>
      <c r="AP383" s="7"/>
      <c r="AQ383" s="7"/>
      <c r="AR383" s="7"/>
      <c r="AS383" s="7"/>
      <c r="AT383" s="7"/>
      <c r="AU383" s="7"/>
    </row>
    <row r="384" spans="5:48" ht="13.9" customHeight="1">
      <c r="AA384" s="7"/>
      <c r="AL384" s="7"/>
      <c r="AM384" s="7"/>
      <c r="AN384" s="7"/>
      <c r="AO384" s="7"/>
      <c r="AP384" s="7"/>
      <c r="AQ384" s="7"/>
      <c r="AR384" s="7"/>
      <c r="AS384" s="7"/>
      <c r="AT384" s="7"/>
      <c r="AU384" s="7"/>
    </row>
    <row r="385" spans="27:32" ht="13.9" customHeight="1">
      <c r="AA385" s="7"/>
    </row>
    <row r="386" spans="27:32" ht="13.9" customHeight="1">
      <c r="AA386" s="7"/>
    </row>
    <row r="387" spans="27:32" ht="13.9" customHeight="1">
      <c r="AA387" s="7"/>
    </row>
    <row r="388" spans="27:32" ht="13.9" customHeight="1">
      <c r="AA388" s="7"/>
    </row>
    <row r="389" spans="27:32" ht="13.9" customHeight="1">
      <c r="AA389" s="7"/>
      <c r="AF389" s="7"/>
    </row>
    <row r="390" spans="27:32" ht="13.9" customHeight="1">
      <c r="AA390" s="7"/>
    </row>
    <row r="391" spans="27:32" ht="13.9" customHeight="1">
      <c r="AA391" s="7"/>
    </row>
    <row r="392" spans="27:32" ht="13.9" customHeight="1">
      <c r="AA392" s="7"/>
    </row>
    <row r="393" spans="27:32" ht="13.9" customHeight="1">
      <c r="AA393" s="7"/>
    </row>
    <row r="394" spans="27:32" ht="13.9" customHeight="1">
      <c r="AA394" s="7"/>
    </row>
    <row r="395" spans="27:32" ht="13.9" customHeight="1">
      <c r="AA395" s="7"/>
    </row>
    <row r="396" spans="27:32" ht="13.9" customHeight="1">
      <c r="AA396" s="7"/>
    </row>
    <row r="397" spans="27:32" ht="13.9" customHeight="1">
      <c r="AA397" s="7"/>
    </row>
    <row r="398" spans="27:32" ht="13.9" customHeight="1">
      <c r="AA398" s="7"/>
    </row>
    <row r="399" spans="27:32" ht="13.9" customHeight="1">
      <c r="AA399" s="7"/>
    </row>
    <row r="400" spans="27:32" ht="13.9" customHeight="1">
      <c r="AA400" s="7"/>
    </row>
    <row r="401" spans="27:27" ht="13.9" customHeight="1">
      <c r="AA401" s="7"/>
    </row>
    <row r="402" spans="27:27" ht="13.9" customHeight="1">
      <c r="AA402" s="7"/>
    </row>
    <row r="403" spans="27:27" ht="13.9" customHeight="1">
      <c r="AA403" s="7"/>
    </row>
    <row r="404" spans="27:27" ht="13.9" customHeight="1">
      <c r="AA404" s="7"/>
    </row>
    <row r="405" spans="27:27" ht="13.9" customHeight="1">
      <c r="AA405" s="7"/>
    </row>
    <row r="406" spans="27:27" ht="13.9" customHeight="1">
      <c r="AA406" s="7"/>
    </row>
    <row r="407" spans="27:27" ht="13.9" customHeight="1">
      <c r="AA407" s="7"/>
    </row>
    <row r="408" spans="27:27" ht="13.9" customHeight="1">
      <c r="AA408" s="7"/>
    </row>
    <row r="409" spans="27:27" ht="13.9" customHeight="1">
      <c r="AA409" s="7"/>
    </row>
    <row r="410" spans="27:27" ht="13.9" customHeight="1">
      <c r="AA410" s="7"/>
    </row>
    <row r="411" spans="27:27" ht="13.9" customHeight="1">
      <c r="AA411" s="7"/>
    </row>
    <row r="412" spans="27:27" ht="13.9" customHeight="1">
      <c r="AA412" s="7"/>
    </row>
    <row r="413" spans="27:27" ht="13.9" customHeight="1">
      <c r="AA413" s="7"/>
    </row>
    <row r="414" spans="27:27" ht="13.9" customHeight="1">
      <c r="AA414" s="7"/>
    </row>
    <row r="415" spans="27:27" ht="13.9" customHeight="1">
      <c r="AA415" s="7"/>
    </row>
    <row r="416" spans="27:27" ht="13.9" customHeight="1">
      <c r="AA416" s="7"/>
    </row>
    <row r="417" spans="27:31" ht="13.9" customHeight="1">
      <c r="AA417" s="7"/>
    </row>
    <row r="418" spans="27:31" ht="13.9" customHeight="1">
      <c r="AA418" s="7"/>
    </row>
    <row r="419" spans="27:31" ht="13.9" customHeight="1">
      <c r="AA419" s="7"/>
      <c r="AE419" s="7"/>
    </row>
    <row r="420" spans="27:31" ht="13.9" customHeight="1">
      <c r="AA420" s="7"/>
      <c r="AE420" s="7"/>
    </row>
    <row r="421" spans="27:31" ht="13.9" customHeight="1">
      <c r="AA421" s="7"/>
      <c r="AE421" s="7"/>
    </row>
    <row r="422" spans="27:31" ht="13.9" customHeight="1">
      <c r="AA422" s="7"/>
      <c r="AE422" s="7"/>
    </row>
    <row r="423" spans="27:31" ht="13.9" customHeight="1">
      <c r="AA423" s="7"/>
      <c r="AE423" s="7"/>
    </row>
    <row r="424" spans="27:31" ht="13.9" customHeight="1">
      <c r="AA424" s="7"/>
      <c r="AE424" s="7"/>
    </row>
    <row r="425" spans="27:31" ht="13.9" customHeight="1">
      <c r="AA425" s="7"/>
      <c r="AB425" s="7"/>
      <c r="AC425" s="7"/>
      <c r="AE425" s="7"/>
    </row>
    <row r="426" spans="27:31" ht="13.9" customHeight="1">
      <c r="AA426" s="7"/>
      <c r="AB426" s="7"/>
      <c r="AC426" s="7"/>
      <c r="AE426" s="7"/>
    </row>
    <row r="427" spans="27:31" ht="13.9" customHeight="1">
      <c r="AA427" s="7"/>
      <c r="AB427" s="94"/>
      <c r="AC427" s="94"/>
    </row>
    <row r="428" spans="27:31" ht="13.9" customHeight="1">
      <c r="AA428" s="7"/>
      <c r="AB428" s="94"/>
      <c r="AC428" s="94"/>
    </row>
    <row r="429" spans="27:31" ht="13.9" customHeight="1">
      <c r="AA429" s="7"/>
      <c r="AB429" s="94"/>
      <c r="AC429" s="94"/>
    </row>
    <row r="430" spans="27:31" ht="13.9" customHeight="1">
      <c r="AA430" s="7"/>
      <c r="AB430" s="94"/>
      <c r="AC430" s="94"/>
    </row>
    <row r="431" spans="27:31" ht="13.9" customHeight="1">
      <c r="AA431" s="7"/>
      <c r="AB431" s="94"/>
      <c r="AC431" s="94"/>
    </row>
    <row r="432" spans="27:31" ht="13.9" customHeight="1">
      <c r="AA432" s="7"/>
      <c r="AB432" s="94"/>
      <c r="AC432" s="94"/>
    </row>
    <row r="433" spans="27:27" ht="13.9" customHeight="1">
      <c r="AA433" s="7"/>
    </row>
    <row r="434" spans="27:27" ht="13.9" customHeight="1">
      <c r="AA434" s="7"/>
    </row>
    <row r="435" spans="27:27" ht="13.9" customHeight="1">
      <c r="AA435" s="7"/>
    </row>
    <row r="436" spans="27:27" ht="13.9" customHeight="1">
      <c r="AA436" s="7"/>
    </row>
    <row r="437" spans="27:27" ht="13.9" customHeight="1">
      <c r="AA437" s="7"/>
    </row>
    <row r="438" spans="27:27" ht="13.9" customHeight="1">
      <c r="AA438" s="7"/>
    </row>
    <row r="439" spans="27:27" ht="13.9" customHeight="1">
      <c r="AA439" s="7"/>
    </row>
    <row r="440" spans="27:27" ht="13.9" customHeight="1">
      <c r="AA440" s="7"/>
    </row>
    <row r="441" spans="27:27" ht="13.9" customHeight="1">
      <c r="AA441" s="7"/>
    </row>
    <row r="442" spans="27:27" ht="13.9" customHeight="1">
      <c r="AA442" s="7"/>
    </row>
    <row r="443" spans="27:27" ht="13.9" customHeight="1">
      <c r="AA443" s="7"/>
    </row>
    <row r="444" spans="27:27" ht="13.9" customHeight="1">
      <c r="AA444" s="7"/>
    </row>
    <row r="445" spans="27:27" ht="13.9" customHeight="1">
      <c r="AA445" s="7"/>
    </row>
    <row r="446" spans="27:27" ht="13.9" customHeight="1">
      <c r="AA446" s="7"/>
    </row>
    <row r="447" spans="27:27" ht="13.9" customHeight="1">
      <c r="AA447" s="7"/>
    </row>
    <row r="448" spans="27:27" ht="13.9" customHeight="1">
      <c r="AA448" s="7"/>
    </row>
    <row r="449" spans="27:30" ht="13.9" customHeight="1">
      <c r="AA449" s="7"/>
      <c r="AD449" s="7"/>
    </row>
    <row r="450" spans="27:30" ht="13.9" customHeight="1">
      <c r="AA450" s="7"/>
      <c r="AD450" s="7"/>
    </row>
    <row r="451" spans="27:30" ht="13.9" customHeight="1">
      <c r="AA451" s="7"/>
      <c r="AD451" s="7"/>
    </row>
    <row r="452" spans="27:30" ht="13.9" customHeight="1">
      <c r="AA452" s="7"/>
      <c r="AD452" s="7"/>
    </row>
    <row r="453" spans="27:30" ht="13.9" customHeight="1">
      <c r="AA453" s="7"/>
      <c r="AD453" s="7"/>
    </row>
    <row r="454" spans="27:30" ht="13.9" customHeight="1">
      <c r="AA454" s="7"/>
      <c r="AD454" s="7"/>
    </row>
    <row r="455" spans="27:30" ht="13.9" customHeight="1">
      <c r="AA455" s="7"/>
      <c r="AD455" s="7"/>
    </row>
    <row r="456" spans="27:30" ht="13.9" customHeight="1">
      <c r="AA456" s="7"/>
    </row>
    <row r="457" spans="27:30" ht="13.9" customHeight="1">
      <c r="AA457" s="7"/>
    </row>
    <row r="458" spans="27:30" ht="13.9" customHeight="1">
      <c r="AA458" s="7"/>
    </row>
    <row r="459" spans="27:30" ht="13.9" customHeight="1">
      <c r="AA459" s="7"/>
    </row>
    <row r="460" spans="27:30" ht="13.9" customHeight="1">
      <c r="AA460" s="7"/>
    </row>
    <row r="461" spans="27:30" ht="13.9" customHeight="1">
      <c r="AA461" s="7"/>
    </row>
    <row r="462" spans="27:30" ht="13.9" customHeight="1">
      <c r="AA462" s="7"/>
    </row>
    <row r="463" spans="27:30" ht="13.9" customHeight="1">
      <c r="AA463" s="7"/>
    </row>
    <row r="464" spans="27:30" ht="13.9" customHeight="1">
      <c r="AA464" s="7"/>
    </row>
    <row r="465" spans="27:27" ht="13.9" customHeight="1">
      <c r="AA465" s="7"/>
    </row>
    <row r="466" spans="27:27" ht="13.9" customHeight="1">
      <c r="AA466" s="7"/>
    </row>
    <row r="467" spans="27:27" ht="13.9" customHeight="1">
      <c r="AA467" s="7"/>
    </row>
    <row r="468" spans="27:27" ht="13.9" customHeight="1">
      <c r="AA468" s="7"/>
    </row>
    <row r="469" spans="27:27" ht="13.9" customHeight="1">
      <c r="AA469" s="7"/>
    </row>
    <row r="470" spans="27:27" ht="13.9" customHeight="1">
      <c r="AA470" s="7"/>
    </row>
    <row r="471" spans="27:27" ht="13.9" customHeight="1">
      <c r="AA471" s="7"/>
    </row>
    <row r="472" spans="27:27" ht="13.9" customHeight="1">
      <c r="AA472" s="7"/>
    </row>
    <row r="473" spans="27:27" ht="13.9" customHeight="1">
      <c r="AA473" s="7"/>
    </row>
    <row r="474" spans="27:27" ht="13.9" customHeight="1">
      <c r="AA474" s="7"/>
    </row>
    <row r="475" spans="27:27" ht="13.9" customHeight="1">
      <c r="AA475" s="7"/>
    </row>
    <row r="476" spans="27:27" ht="13.9" customHeight="1">
      <c r="AA476" s="7"/>
    </row>
    <row r="477" spans="27:27" ht="13.9" customHeight="1">
      <c r="AA477" s="7"/>
    </row>
    <row r="478" spans="27:27" ht="13.9" customHeight="1">
      <c r="AA478" s="7"/>
    </row>
    <row r="479" spans="27:27" ht="13.9" customHeight="1">
      <c r="AA479" s="7"/>
    </row>
    <row r="480" spans="27:27" ht="13.9" customHeight="1">
      <c r="AA480" s="7"/>
    </row>
  </sheetData>
  <sortState ref="BR9:BX132">
    <sortCondition ref="BX9:BX132"/>
    <sortCondition ref="BV9:BV132"/>
  </sortState>
  <mergeCells count="74">
    <mergeCell ref="B31:J32"/>
    <mergeCell ref="B55:I56"/>
    <mergeCell ref="B78:J79"/>
    <mergeCell ref="B100:J101"/>
    <mergeCell ref="B172:J173"/>
    <mergeCell ref="B146:G147"/>
    <mergeCell ref="B53:I53"/>
    <mergeCell ref="B143:G144"/>
    <mergeCell ref="B169:G170"/>
    <mergeCell ref="G148:G150"/>
    <mergeCell ref="B148:B150"/>
    <mergeCell ref="C148:C150"/>
    <mergeCell ref="D148:D150"/>
    <mergeCell ref="E148:E150"/>
    <mergeCell ref="F148:F150"/>
    <mergeCell ref="AS61:AS63"/>
    <mergeCell ref="AT61:AT63"/>
    <mergeCell ref="AN61:AN63"/>
    <mergeCell ref="AO61:AO63"/>
    <mergeCell ref="AP61:AP63"/>
    <mergeCell ref="AQ61:AQ63"/>
    <mergeCell ref="AR61:AR63"/>
    <mergeCell ref="AE61:AE63"/>
    <mergeCell ref="AF61:AF63"/>
    <mergeCell ref="AG61:AG63"/>
    <mergeCell ref="AI61:AI63"/>
    <mergeCell ref="AM61:AM63"/>
    <mergeCell ref="AC61:AC63"/>
    <mergeCell ref="AD61:AD63"/>
    <mergeCell ref="B115:I116"/>
    <mergeCell ref="AB61:AB63"/>
    <mergeCell ref="H122:H124"/>
    <mergeCell ref="B122:B124"/>
    <mergeCell ref="B119:H120"/>
    <mergeCell ref="C122:C124"/>
    <mergeCell ref="D122:D124"/>
    <mergeCell ref="E122:E124"/>
    <mergeCell ref="F122:F124"/>
    <mergeCell ref="G122:G124"/>
    <mergeCell ref="AB5:AD5"/>
    <mergeCell ref="AB6:AD6"/>
    <mergeCell ref="F8:F12"/>
    <mergeCell ref="E8:E12"/>
    <mergeCell ref="D8:D12"/>
    <mergeCell ref="G8:G12"/>
    <mergeCell ref="H8:H12"/>
    <mergeCell ref="AC12:AC14"/>
    <mergeCell ref="AD12:AD14"/>
    <mergeCell ref="AB12:AB14"/>
    <mergeCell ref="J8:J12"/>
    <mergeCell ref="AA12:AA14"/>
    <mergeCell ref="I8:I12"/>
    <mergeCell ref="B28:I29"/>
    <mergeCell ref="AZ6:BB7"/>
    <mergeCell ref="BC6:BE7"/>
    <mergeCell ref="BF6:BH7"/>
    <mergeCell ref="AL12:AL14"/>
    <mergeCell ref="AM12:AM14"/>
    <mergeCell ref="AN12:AN14"/>
    <mergeCell ref="AO12:AO14"/>
    <mergeCell ref="AP12:AP14"/>
    <mergeCell ref="AH12:AH14"/>
    <mergeCell ref="AJ12:AJ14"/>
    <mergeCell ref="AE12:AE14"/>
    <mergeCell ref="AF12:AF14"/>
    <mergeCell ref="AG12:AG14"/>
    <mergeCell ref="AI12:AI14"/>
    <mergeCell ref="C8:C12"/>
    <mergeCell ref="BI6:BK7"/>
    <mergeCell ref="BL6:BN7"/>
    <mergeCell ref="AQ12:AQ14"/>
    <mergeCell ref="AR12:AR14"/>
    <mergeCell ref="AT12:AT14"/>
    <mergeCell ref="AS12:AS14"/>
  </mergeCells>
  <phoneticPr fontId="6" type="noConversion"/>
  <pageMargins left="0.7" right="0.7" top="0.75" bottom="0.75" header="0.3" footer="0.3"/>
  <pageSetup scale="95" fitToHeight="0" orientation="portrait" r:id="rId1"/>
  <rowBreaks count="5" manualBreakCount="5">
    <brk id="30" min="1" max="9" man="1"/>
    <brk id="76" min="1" max="9" man="1"/>
    <brk id="117" min="1" max="9" man="1"/>
    <brk id="145" min="1" max="9" man="1"/>
    <brk id="171" min="1" max="9" man="1"/>
  </rowBreaks>
  <ignoredErrors>
    <ignoredError sqref="F8 I14:I18 AS98:AS102 AE101 AE102:AE106 AH101:AH106 AC121:AC125 AO109:AO114" formula="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5" tint="0.39997558519241921"/>
    <pageSetUpPr fitToPage="1"/>
  </sheetPr>
  <dimension ref="B3:BE116"/>
  <sheetViews>
    <sheetView zoomScaleNormal="100" workbookViewId="0">
      <selection activeCell="Y77" sqref="Y77:AF77"/>
    </sheetView>
  </sheetViews>
  <sheetFormatPr defaultRowHeight="14.25"/>
  <cols>
    <col min="2" max="2" width="15.125" customWidth="1"/>
    <col min="3" max="4" width="6.5" customWidth="1"/>
    <col min="5" max="6" width="11.125" customWidth="1"/>
    <col min="7" max="7" width="3.125" customWidth="1"/>
    <col min="8" max="11" width="8" customWidth="1"/>
    <col min="16" max="23" width="3.375" customWidth="1"/>
    <col min="24" max="24" width="29" customWidth="1"/>
    <col min="25" max="32" width="12.5" customWidth="1"/>
    <col min="34" max="34" width="29" customWidth="1"/>
    <col min="35" max="43" width="12" customWidth="1"/>
    <col min="46" max="54" width="3.25" customWidth="1"/>
  </cols>
  <sheetData>
    <row r="3" spans="2:57" ht="28.5" thickBot="1">
      <c r="B3" s="4" t="s">
        <v>0</v>
      </c>
      <c r="C3" s="4"/>
      <c r="D3" s="4"/>
      <c r="E3" s="4"/>
      <c r="F3" s="4"/>
      <c r="G3" s="4"/>
      <c r="H3" s="4"/>
      <c r="I3" s="4"/>
      <c r="J3" s="4"/>
      <c r="K3" s="4"/>
      <c r="X3" s="4" t="s">
        <v>2671</v>
      </c>
      <c r="Y3" s="4"/>
      <c r="Z3" s="4"/>
      <c r="AA3" s="4"/>
      <c r="AB3" s="4"/>
      <c r="AC3" s="4"/>
      <c r="AD3" s="4"/>
      <c r="AE3" s="4"/>
      <c r="AF3" s="4"/>
      <c r="AG3" s="4"/>
      <c r="AH3" s="4"/>
      <c r="AI3" s="4"/>
      <c r="AJ3" s="4"/>
      <c r="AK3" s="4"/>
      <c r="AL3" s="4"/>
      <c r="AM3" s="4"/>
      <c r="AN3" s="4"/>
      <c r="AO3" s="4"/>
      <c r="AP3" s="4"/>
      <c r="AQ3" s="4"/>
      <c r="AR3" s="4"/>
      <c r="AT3" s="4" t="s">
        <v>2853</v>
      </c>
      <c r="AU3" s="4"/>
      <c r="AV3" s="4"/>
      <c r="AW3" s="4"/>
      <c r="AX3" s="4"/>
      <c r="AY3" s="4"/>
      <c r="AZ3" s="4"/>
      <c r="BA3" s="4"/>
      <c r="BB3" s="4"/>
      <c r="BC3" s="4"/>
      <c r="BD3" s="4"/>
      <c r="BE3" s="4"/>
    </row>
    <row r="4" spans="2:57" ht="15" thickTop="1"/>
    <row r="5" spans="2:57" ht="18" customHeight="1">
      <c r="B5" s="303" t="str">
        <f>"Table 9. "&amp;City_label&amp;" count of owner and renter households by racial group, 2019"</f>
        <v>Table 9. Entiat count of owner and renter households by racial group, 2019</v>
      </c>
      <c r="C5" s="303"/>
      <c r="D5" s="303"/>
      <c r="E5" s="303"/>
      <c r="F5" s="303"/>
      <c r="G5" s="303"/>
      <c r="H5" s="303"/>
      <c r="I5" s="303"/>
      <c r="J5" s="303"/>
      <c r="K5" s="303"/>
      <c r="X5" s="16" t="s">
        <v>2702</v>
      </c>
      <c r="Y5" s="297" t="str">
        <f>City</f>
        <v>Entiat city, Washington</v>
      </c>
      <c r="Z5" s="297"/>
    </row>
    <row r="6" spans="2:57" ht="18" customHeight="1">
      <c r="B6" s="303"/>
      <c r="C6" s="303"/>
      <c r="D6" s="303"/>
      <c r="E6" s="303"/>
      <c r="F6" s="303"/>
      <c r="G6" s="303"/>
      <c r="H6" s="303"/>
      <c r="I6" s="303"/>
      <c r="J6" s="303"/>
      <c r="K6" s="303"/>
      <c r="X6" s="16" t="s">
        <v>2703</v>
      </c>
      <c r="Y6" s="297" t="str">
        <f>County</f>
        <v>Chelan County, Washington</v>
      </c>
      <c r="Z6" s="297"/>
      <c r="AU6" s="194"/>
      <c r="AX6" s="195"/>
    </row>
    <row r="7" spans="2:57" ht="18" customHeight="1" thickBot="1">
      <c r="C7" s="190"/>
      <c r="D7" s="190"/>
      <c r="E7" s="190"/>
      <c r="F7" s="190"/>
      <c r="G7" s="190"/>
      <c r="H7" s="190"/>
      <c r="I7" s="190"/>
      <c r="J7" s="190"/>
      <c r="K7" s="190"/>
      <c r="AT7" s="370" t="s">
        <v>5</v>
      </c>
      <c r="AU7" s="370"/>
      <c r="AV7" s="370"/>
      <c r="AW7" s="370" t="s">
        <v>4</v>
      </c>
      <c r="AX7" s="370"/>
      <c r="AY7" s="370"/>
    </row>
    <row r="8" spans="2:57" ht="17.25" thickBot="1">
      <c r="B8" s="218"/>
      <c r="C8" s="256"/>
      <c r="D8" s="256"/>
      <c r="E8" s="65" t="str">
        <f>City_label</f>
        <v>Entiat</v>
      </c>
      <c r="F8" s="257"/>
      <c r="G8" s="256"/>
      <c r="H8" s="65" t="str">
        <f>City_label</f>
        <v>Entiat</v>
      </c>
      <c r="I8" s="257"/>
      <c r="J8" s="65" t="str">
        <f>County_label</f>
        <v>Chelan County</v>
      </c>
      <c r="K8" s="257"/>
      <c r="X8" s="62" t="str">
        <f>City</f>
        <v>Entiat city, Washington</v>
      </c>
      <c r="Y8" s="62"/>
      <c r="Z8" s="62"/>
      <c r="AA8" s="62"/>
      <c r="AB8" s="62"/>
      <c r="AC8" s="62"/>
      <c r="AD8" s="62"/>
      <c r="AE8" s="62"/>
      <c r="AF8" s="62"/>
      <c r="AG8" s="62"/>
      <c r="AH8" s="62"/>
      <c r="AI8" s="62"/>
      <c r="AJ8" s="62"/>
      <c r="AK8" s="62"/>
      <c r="AL8" s="62"/>
      <c r="AM8" s="62"/>
      <c r="AN8" s="62"/>
      <c r="AO8" s="62"/>
      <c r="AP8" s="62"/>
      <c r="AQ8" s="62"/>
      <c r="AR8" s="62"/>
      <c r="AT8" s="370"/>
      <c r="AU8" s="370"/>
      <c r="AV8" s="370"/>
      <c r="AW8" s="370"/>
      <c r="AX8" s="370"/>
      <c r="AY8" s="370"/>
    </row>
    <row r="9" spans="2:57" ht="14.45" customHeight="1" thickTop="1">
      <c r="B9" s="29"/>
      <c r="C9" s="29"/>
      <c r="E9" s="338" t="s">
        <v>2669</v>
      </c>
      <c r="F9" s="338" t="s">
        <v>2668</v>
      </c>
      <c r="G9" s="29"/>
      <c r="H9" s="338" t="s">
        <v>2850</v>
      </c>
      <c r="I9" s="338" t="s">
        <v>2849</v>
      </c>
      <c r="J9" s="338" t="s">
        <v>2850</v>
      </c>
      <c r="K9" s="338" t="s">
        <v>2849</v>
      </c>
    </row>
    <row r="10" spans="2:57" ht="15">
      <c r="B10" s="70"/>
      <c r="C10" s="70"/>
      <c r="D10" s="35"/>
      <c r="E10" s="339"/>
      <c r="F10" s="339"/>
      <c r="G10" s="70"/>
      <c r="H10" s="339"/>
      <c r="I10" s="339"/>
      <c r="J10" s="339"/>
      <c r="K10" s="339"/>
      <c r="X10" s="149" t="s">
        <v>2851</v>
      </c>
      <c r="Y10" s="5"/>
      <c r="Z10" s="5"/>
      <c r="AA10" s="5"/>
      <c r="AB10" s="5"/>
      <c r="AC10" s="5"/>
      <c r="AD10" s="5"/>
      <c r="AE10" s="5"/>
      <c r="AF10" s="5"/>
      <c r="AG10" s="5"/>
      <c r="AH10" s="149" t="s">
        <v>3</v>
      </c>
      <c r="AI10" s="114" t="s">
        <v>2781</v>
      </c>
      <c r="AJ10" s="37"/>
      <c r="AK10" s="57"/>
      <c r="AL10" s="5"/>
      <c r="AM10" s="5"/>
      <c r="AN10" s="5"/>
      <c r="AO10" s="5"/>
      <c r="AP10" s="5"/>
      <c r="AQ10" s="5"/>
      <c r="AR10" s="5"/>
    </row>
    <row r="11" spans="2:57" ht="15.75" customHeight="1">
      <c r="B11" s="29" t="s">
        <v>2720</v>
      </c>
      <c r="C11" s="29"/>
      <c r="E11" s="253">
        <f>Y29</f>
        <v>4</v>
      </c>
      <c r="F11" s="253">
        <f>Y40</f>
        <v>0</v>
      </c>
      <c r="G11" s="29"/>
      <c r="H11" s="254">
        <f>IFERROR(E11/SUM(E11:F11), "0%")</f>
        <v>1</v>
      </c>
      <c r="I11" s="254" t="str">
        <f t="shared" ref="I11:I18" si="0">IFERROR(F11/SUM(F11:F11), "0%")</f>
        <v>0%</v>
      </c>
      <c r="J11" s="254">
        <f>Y66/Y51</f>
        <v>0.78125</v>
      </c>
      <c r="K11" s="254">
        <f>Y77/Y51</f>
        <v>0.21875</v>
      </c>
      <c r="X11" s="149"/>
      <c r="Y11" s="341" t="s">
        <v>2720</v>
      </c>
      <c r="Z11" s="298" t="s">
        <v>2666</v>
      </c>
      <c r="AA11" s="341" t="s">
        <v>2673</v>
      </c>
      <c r="AB11" s="341" t="s">
        <v>2790</v>
      </c>
      <c r="AC11" s="341" t="s">
        <v>2706</v>
      </c>
      <c r="AD11" s="341" t="s">
        <v>2721</v>
      </c>
      <c r="AE11" s="298" t="s">
        <v>2672</v>
      </c>
      <c r="AF11" s="298" t="s">
        <v>2</v>
      </c>
      <c r="AG11" s="5"/>
      <c r="AH11" s="37"/>
      <c r="AI11" s="369" t="s">
        <v>2666</v>
      </c>
      <c r="AJ11" s="369" t="s">
        <v>2673</v>
      </c>
      <c r="AK11" s="369" t="s">
        <v>2796</v>
      </c>
      <c r="AL11" s="369" t="s">
        <v>2706</v>
      </c>
      <c r="AM11" s="369" t="s">
        <v>2792</v>
      </c>
      <c r="AN11" s="369" t="s">
        <v>2672</v>
      </c>
      <c r="AO11" s="369" t="s">
        <v>2</v>
      </c>
      <c r="AR11" s="5"/>
    </row>
    <row r="12" spans="2:57" ht="13.9" customHeight="1">
      <c r="B12" s="29" t="s">
        <v>2666</v>
      </c>
      <c r="C12" s="29"/>
      <c r="E12" s="253">
        <f>Z29</f>
        <v>0</v>
      </c>
      <c r="F12" s="253">
        <f>Z40</f>
        <v>0</v>
      </c>
      <c r="G12" s="29"/>
      <c r="H12" s="254" t="str">
        <f t="shared" ref="H12:H18" si="1">IFERROR(E12/SUM(E12:F12), "0%")</f>
        <v>0%</v>
      </c>
      <c r="I12" s="254" t="str">
        <f t="shared" si="0"/>
        <v>0%</v>
      </c>
      <c r="J12" s="254">
        <f>Z66/Z51</f>
        <v>0.35135135135135137</v>
      </c>
      <c r="K12" s="254">
        <f>Z77/Z51</f>
        <v>0.64864864864864868</v>
      </c>
      <c r="X12" s="5"/>
      <c r="Y12" s="341"/>
      <c r="Z12" s="298"/>
      <c r="AA12" s="341"/>
      <c r="AB12" s="341"/>
      <c r="AC12" s="341"/>
      <c r="AD12" s="341"/>
      <c r="AE12" s="298"/>
      <c r="AF12" s="298"/>
      <c r="AG12" s="5"/>
      <c r="AH12" s="5"/>
      <c r="AI12" s="369"/>
      <c r="AJ12" s="369"/>
      <c r="AK12" s="369"/>
      <c r="AL12" s="369"/>
      <c r="AM12" s="369"/>
      <c r="AN12" s="369"/>
      <c r="AO12" s="369"/>
      <c r="AR12" s="5"/>
    </row>
    <row r="13" spans="2:57">
      <c r="B13" s="29" t="s">
        <v>2673</v>
      </c>
      <c r="C13" s="29"/>
      <c r="E13" s="253">
        <f>AA29</f>
        <v>0</v>
      </c>
      <c r="F13" s="253">
        <f>AA40</f>
        <v>0</v>
      </c>
      <c r="G13" s="29"/>
      <c r="H13" s="254" t="str">
        <f t="shared" si="1"/>
        <v>0%</v>
      </c>
      <c r="I13" s="254" t="str">
        <f t="shared" si="0"/>
        <v>0%</v>
      </c>
      <c r="J13" s="254">
        <f>AA66/AA51</f>
        <v>7.407407407407407E-2</v>
      </c>
      <c r="K13" s="254">
        <f>AA77/AA51</f>
        <v>0.92592592592592593</v>
      </c>
      <c r="X13" s="5"/>
      <c r="Y13" s="341"/>
      <c r="Z13" s="298"/>
      <c r="AA13" s="341"/>
      <c r="AB13" s="341"/>
      <c r="AC13" s="341"/>
      <c r="AD13" s="341"/>
      <c r="AE13" s="298"/>
      <c r="AF13" s="298"/>
      <c r="AG13" s="5"/>
      <c r="AH13" s="5"/>
      <c r="AI13" s="369"/>
      <c r="AJ13" s="369"/>
      <c r="AK13" s="369"/>
      <c r="AL13" s="369"/>
      <c r="AM13" s="369"/>
      <c r="AN13" s="369"/>
      <c r="AO13" s="369"/>
      <c r="AR13" s="5"/>
    </row>
    <row r="14" spans="2:57" ht="15">
      <c r="B14" s="29" t="s">
        <v>2790</v>
      </c>
      <c r="C14" s="29"/>
      <c r="E14" s="253">
        <f>AB29</f>
        <v>40</v>
      </c>
      <c r="F14" s="253">
        <f>AB40</f>
        <v>65</v>
      </c>
      <c r="G14" s="29"/>
      <c r="H14" s="254">
        <f t="shared" si="1"/>
        <v>0.38095238095238093</v>
      </c>
      <c r="I14" s="254">
        <f t="shared" si="0"/>
        <v>1</v>
      </c>
      <c r="J14" s="254">
        <f>AB66/AB51</f>
        <v>0.45023696682464454</v>
      </c>
      <c r="K14" s="254">
        <f>AB77/AB51</f>
        <v>0.54976303317535546</v>
      </c>
      <c r="X14" s="33" t="s">
        <v>2852</v>
      </c>
      <c r="Y14" s="37">
        <f t="shared" ref="Y14:AE14" si="2">SUM(Y29,Y40)</f>
        <v>4</v>
      </c>
      <c r="Z14" s="37">
        <f t="shared" si="2"/>
        <v>0</v>
      </c>
      <c r="AA14" s="37">
        <f t="shared" si="2"/>
        <v>0</v>
      </c>
      <c r="AB14" s="37">
        <f t="shared" si="2"/>
        <v>105</v>
      </c>
      <c r="AC14" s="37">
        <f t="shared" si="2"/>
        <v>15</v>
      </c>
      <c r="AD14" s="37">
        <f t="shared" si="2"/>
        <v>0</v>
      </c>
      <c r="AE14" s="37">
        <f t="shared" si="2"/>
        <v>285</v>
      </c>
      <c r="AF14" s="2">
        <v>410</v>
      </c>
      <c r="AG14" s="5"/>
      <c r="AH14" t="s">
        <v>5</v>
      </c>
      <c r="AI14" s="5">
        <f>AI25</f>
        <v>0</v>
      </c>
      <c r="AJ14" s="5">
        <f t="shared" ref="AJ14:AO14" si="3">AJ25</f>
        <v>0</v>
      </c>
      <c r="AK14" s="5">
        <f t="shared" si="3"/>
        <v>40</v>
      </c>
      <c r="AL14" s="5">
        <f t="shared" si="3"/>
        <v>19</v>
      </c>
      <c r="AM14" s="5">
        <f t="shared" si="3"/>
        <v>19</v>
      </c>
      <c r="AN14" s="5">
        <f t="shared" si="3"/>
        <v>225</v>
      </c>
      <c r="AO14" s="5">
        <f t="shared" si="3"/>
        <v>285</v>
      </c>
      <c r="AP14" s="37"/>
      <c r="AQ14" s="37"/>
      <c r="AR14" s="5"/>
    </row>
    <row r="15" spans="2:57">
      <c r="B15" s="29" t="s">
        <v>2706</v>
      </c>
      <c r="C15" s="29"/>
      <c r="E15" s="253">
        <f>AC29</f>
        <v>15</v>
      </c>
      <c r="F15" s="253">
        <f>AC40</f>
        <v>0</v>
      </c>
      <c r="G15" s="29"/>
      <c r="H15" s="254">
        <f t="shared" si="1"/>
        <v>1</v>
      </c>
      <c r="I15" s="254" t="str">
        <f t="shared" si="0"/>
        <v>0%</v>
      </c>
      <c r="J15" s="254">
        <f>AC66/AC51</f>
        <v>0.53164556962025311</v>
      </c>
      <c r="K15" s="254">
        <f>AC77/AC51</f>
        <v>0.46835443037974683</v>
      </c>
      <c r="X15" s="33"/>
      <c r="Y15" s="5"/>
      <c r="Z15" s="5"/>
      <c r="AA15" s="5"/>
      <c r="AB15" s="5"/>
      <c r="AC15" s="5"/>
      <c r="AD15" s="5"/>
      <c r="AE15" s="5"/>
      <c r="AF15" s="5"/>
      <c r="AG15" s="5"/>
      <c r="AH15" s="33" t="s">
        <v>4</v>
      </c>
      <c r="AI15" s="5">
        <f>AI36</f>
        <v>0</v>
      </c>
      <c r="AJ15" s="5">
        <f t="shared" ref="AJ15:AO15" si="4">AJ36</f>
        <v>0</v>
      </c>
      <c r="AK15" s="5">
        <f t="shared" si="4"/>
        <v>65</v>
      </c>
      <c r="AL15" s="5">
        <f t="shared" si="4"/>
        <v>0</v>
      </c>
      <c r="AM15" s="5">
        <f t="shared" si="4"/>
        <v>0</v>
      </c>
      <c r="AN15" s="5">
        <f t="shared" si="4"/>
        <v>60</v>
      </c>
      <c r="AO15" s="5">
        <f t="shared" si="4"/>
        <v>130</v>
      </c>
      <c r="AP15" s="5"/>
    </row>
    <row r="16" spans="2:57" ht="15">
      <c r="B16" s="29" t="s">
        <v>2721</v>
      </c>
      <c r="C16" s="29"/>
      <c r="E16" s="253">
        <f>AD29</f>
        <v>0</v>
      </c>
      <c r="F16" s="253">
        <f>AD40</f>
        <v>0</v>
      </c>
      <c r="G16" s="29"/>
      <c r="H16" s="254" t="str">
        <f t="shared" si="1"/>
        <v>0%</v>
      </c>
      <c r="I16" s="254" t="str">
        <f t="shared" si="0"/>
        <v>0%</v>
      </c>
      <c r="J16" s="254" t="e">
        <f>AD66/AD51</f>
        <v>#DIV/0!</v>
      </c>
      <c r="K16" s="254" t="e">
        <f>AD77/AD51</f>
        <v>#DIV/0!</v>
      </c>
      <c r="X16" s="33"/>
      <c r="Y16" s="5"/>
      <c r="Z16" s="5"/>
      <c r="AA16" s="5"/>
      <c r="AB16" s="5"/>
      <c r="AC16" s="5"/>
      <c r="AD16" s="5"/>
      <c r="AE16" s="251" t="s">
        <v>2854</v>
      </c>
      <c r="AF16" s="5">
        <f>SUM(Y14:AE14)</f>
        <v>409</v>
      </c>
      <c r="AG16" s="5"/>
      <c r="AH16" s="34" t="s">
        <v>1</v>
      </c>
      <c r="AI16" s="34">
        <f>Z14</f>
        <v>0</v>
      </c>
      <c r="AJ16" s="34">
        <f>AA14</f>
        <v>0</v>
      </c>
      <c r="AK16" s="37">
        <f>AB14</f>
        <v>105</v>
      </c>
      <c r="AL16" s="37">
        <f>SUM(Y14, AC14:AD14)</f>
        <v>19</v>
      </c>
      <c r="AM16" s="37">
        <f>SUM(Y14:AA14,AC14:AD14)</f>
        <v>19</v>
      </c>
      <c r="AN16" s="37">
        <f>AE14</f>
        <v>285</v>
      </c>
      <c r="AO16" s="37">
        <f>AF14</f>
        <v>410</v>
      </c>
      <c r="AP16" s="5"/>
    </row>
    <row r="17" spans="2:42">
      <c r="B17" s="29" t="s">
        <v>2672</v>
      </c>
      <c r="C17" s="29"/>
      <c r="E17" s="281">
        <f>AE29</f>
        <v>225</v>
      </c>
      <c r="F17" s="281">
        <f>AE40</f>
        <v>60</v>
      </c>
      <c r="G17" s="70"/>
      <c r="H17" s="282">
        <f t="shared" si="1"/>
        <v>0.78947368421052633</v>
      </c>
      <c r="I17" s="282">
        <f t="shared" si="0"/>
        <v>1</v>
      </c>
      <c r="J17" s="282">
        <f>AE66/AE51</f>
        <v>0.69741282339707533</v>
      </c>
      <c r="K17" s="282">
        <f>AE77/AE51</f>
        <v>0.30258717660292461</v>
      </c>
      <c r="X17" s="33"/>
      <c r="Y17" s="5"/>
      <c r="Z17" s="5"/>
      <c r="AA17" s="5"/>
      <c r="AB17" s="5"/>
      <c r="AC17" s="5"/>
      <c r="AD17" s="5"/>
      <c r="AE17" s="250"/>
      <c r="AG17" s="5"/>
      <c r="AH17" s="5"/>
      <c r="AI17" s="252" t="s">
        <v>2666</v>
      </c>
      <c r="AJ17" s="33" t="s">
        <v>2673</v>
      </c>
      <c r="AK17" s="33" t="s">
        <v>2793</v>
      </c>
      <c r="AL17" s="33" t="s">
        <v>2706</v>
      </c>
      <c r="AM17" s="33" t="s">
        <v>2792</v>
      </c>
      <c r="AN17" s="33" t="s">
        <v>2672</v>
      </c>
      <c r="AO17" s="33" t="s">
        <v>2</v>
      </c>
      <c r="AP17" s="5"/>
    </row>
    <row r="18" spans="2:42" ht="15" thickBot="1">
      <c r="B18" s="247"/>
      <c r="C18" s="247"/>
      <c r="D18" s="247" t="s">
        <v>1</v>
      </c>
      <c r="E18" s="258">
        <f>AF29</f>
        <v>285</v>
      </c>
      <c r="F18" s="258">
        <f>AF40</f>
        <v>130</v>
      </c>
      <c r="G18" s="247"/>
      <c r="H18" s="259">
        <f t="shared" si="1"/>
        <v>0.68674698795180722</v>
      </c>
      <c r="I18" s="259">
        <f t="shared" si="0"/>
        <v>1</v>
      </c>
      <c r="J18" s="259">
        <f>AF66/AF51</f>
        <v>0.64417826316716575</v>
      </c>
      <c r="K18" s="259">
        <f>AF77/AF51</f>
        <v>0.35582173683283425</v>
      </c>
      <c r="AE18" s="59" t="s">
        <v>2852</v>
      </c>
      <c r="AF18" s="112" t="s">
        <v>2235</v>
      </c>
      <c r="AG18" s="5"/>
      <c r="AH18" t="s">
        <v>5</v>
      </c>
      <c r="AI18" s="6" t="e">
        <f>AI14/AI$16</f>
        <v>#DIV/0!</v>
      </c>
      <c r="AJ18" s="6" t="e">
        <f t="shared" ref="AJ18:AO18" si="5">AJ14/AJ$16</f>
        <v>#DIV/0!</v>
      </c>
      <c r="AK18" s="6">
        <f t="shared" si="5"/>
        <v>0.38095238095238093</v>
      </c>
      <c r="AL18" s="6">
        <f t="shared" si="5"/>
        <v>1</v>
      </c>
      <c r="AM18" s="6">
        <f t="shared" si="5"/>
        <v>1</v>
      </c>
      <c r="AN18" s="6">
        <f t="shared" si="5"/>
        <v>0.78947368421052633</v>
      </c>
      <c r="AO18" s="6">
        <f t="shared" si="5"/>
        <v>0.69512195121951215</v>
      </c>
      <c r="AP18" s="5"/>
    </row>
    <row r="19" spans="2:42" ht="15">
      <c r="B19" s="333" t="s">
        <v>2780</v>
      </c>
      <c r="C19" s="333"/>
      <c r="D19" s="333"/>
      <c r="E19" s="333"/>
      <c r="F19" s="333"/>
      <c r="G19" s="333"/>
      <c r="H19" s="333"/>
      <c r="I19" s="333"/>
      <c r="J19" s="333"/>
      <c r="K19" s="333"/>
      <c r="AG19" s="5"/>
      <c r="AH19" s="33" t="s">
        <v>4</v>
      </c>
      <c r="AI19" s="6" t="e">
        <f>AI15/AI$16</f>
        <v>#DIV/0!</v>
      </c>
      <c r="AJ19" s="6" t="e">
        <f t="shared" ref="AJ19:AO19" si="6">AJ15/AJ$16</f>
        <v>#DIV/0!</v>
      </c>
      <c r="AK19" s="6">
        <f t="shared" si="6"/>
        <v>0.61904761904761907</v>
      </c>
      <c r="AL19" s="6">
        <f t="shared" si="6"/>
        <v>0</v>
      </c>
      <c r="AM19" s="6">
        <f t="shared" si="6"/>
        <v>0</v>
      </c>
      <c r="AN19" s="6">
        <f t="shared" si="6"/>
        <v>0.21052631578947367</v>
      </c>
      <c r="AO19" s="6">
        <f t="shared" si="6"/>
        <v>0.31707317073170732</v>
      </c>
      <c r="AP19" s="37"/>
    </row>
    <row r="20" spans="2:42">
      <c r="B20" s="333"/>
      <c r="C20" s="333"/>
      <c r="D20" s="333"/>
      <c r="E20" s="333"/>
      <c r="F20" s="333"/>
      <c r="G20" s="333"/>
      <c r="H20" s="333"/>
      <c r="I20" s="333"/>
      <c r="J20" s="333"/>
      <c r="K20" s="333"/>
      <c r="X20" s="248"/>
      <c r="Y20" s="249"/>
      <c r="Z20" s="249"/>
      <c r="AA20" s="249"/>
      <c r="AB20" s="249"/>
      <c r="AC20" s="249"/>
      <c r="AD20" s="249"/>
      <c r="AE20" s="249"/>
      <c r="AG20" s="5"/>
      <c r="AH20" s="5" t="s">
        <v>1</v>
      </c>
      <c r="AI20" s="6" t="e">
        <f>SUM(AI18:AI19)</f>
        <v>#DIV/0!</v>
      </c>
      <c r="AJ20" s="6" t="e">
        <f t="shared" ref="AJ20:AO20" si="7">SUM(AJ18:AJ19)</f>
        <v>#DIV/0!</v>
      </c>
      <c r="AK20" s="6">
        <f t="shared" si="7"/>
        <v>1</v>
      </c>
      <c r="AL20" s="6">
        <f t="shared" si="7"/>
        <v>1</v>
      </c>
      <c r="AM20" s="6">
        <f t="shared" si="7"/>
        <v>1</v>
      </c>
      <c r="AN20" s="6">
        <f t="shared" si="7"/>
        <v>1</v>
      </c>
      <c r="AO20" s="6">
        <f t="shared" si="7"/>
        <v>1.0121951219512195</v>
      </c>
      <c r="AP20" s="5"/>
    </row>
    <row r="21" spans="2:42">
      <c r="L21" s="130"/>
      <c r="X21" s="5"/>
      <c r="Y21" s="5"/>
      <c r="Z21" s="5"/>
      <c r="AA21" s="5"/>
      <c r="AB21" s="5"/>
      <c r="AC21" s="5"/>
      <c r="AD21" s="5"/>
      <c r="AE21" s="5"/>
      <c r="AF21" s="5"/>
      <c r="AG21" s="5"/>
      <c r="AH21" s="5"/>
      <c r="AI21" s="5"/>
      <c r="AJ21" s="5"/>
      <c r="AK21" s="5"/>
      <c r="AL21" s="5"/>
      <c r="AM21" s="5"/>
      <c r="AN21" s="5"/>
      <c r="AO21" s="5"/>
      <c r="AP21" s="5"/>
    </row>
    <row r="22" spans="2:42" ht="17.25" customHeight="1">
      <c r="B22" s="303" t="str">
        <f>"Chart 16. "&amp;City_label&amp;" total number of owner and renter households by race and ethnicity, 2019"</f>
        <v>Chart 16. Entiat total number of owner and renter households by race and ethnicity, 2019</v>
      </c>
      <c r="C22" s="303"/>
      <c r="D22" s="303"/>
      <c r="E22" s="303"/>
      <c r="F22" s="303"/>
      <c r="G22" s="303"/>
      <c r="H22" s="303"/>
      <c r="I22" s="303"/>
      <c r="J22" s="303"/>
      <c r="K22" s="303"/>
      <c r="X22" s="149" t="s">
        <v>2737</v>
      </c>
      <c r="AG22" s="5"/>
      <c r="AH22" s="149" t="s">
        <v>5</v>
      </c>
      <c r="AI22" s="37"/>
      <c r="AJ22" s="5"/>
      <c r="AK22" s="5"/>
      <c r="AL22" s="5"/>
      <c r="AM22" s="5"/>
      <c r="AN22" s="5"/>
      <c r="AO22" s="5"/>
      <c r="AP22" s="5"/>
    </row>
    <row r="23" spans="2:42" ht="18" customHeight="1">
      <c r="B23" s="303"/>
      <c r="C23" s="303"/>
      <c r="D23" s="303"/>
      <c r="E23" s="303"/>
      <c r="F23" s="303"/>
      <c r="G23" s="303"/>
      <c r="H23" s="303"/>
      <c r="I23" s="303"/>
      <c r="J23" s="303"/>
      <c r="K23" s="303"/>
      <c r="Y23" s="57" t="s">
        <v>2637</v>
      </c>
      <c r="Z23" s="57" t="s">
        <v>2637</v>
      </c>
      <c r="AA23" s="57" t="s">
        <v>2637</v>
      </c>
      <c r="AB23" s="57" t="s">
        <v>2637</v>
      </c>
      <c r="AC23" s="57" t="s">
        <v>2637</v>
      </c>
      <c r="AD23" s="57" t="s">
        <v>2637</v>
      </c>
      <c r="AE23" s="57" t="s">
        <v>2637</v>
      </c>
      <c r="AG23" s="5"/>
      <c r="AH23" s="5"/>
      <c r="AI23" s="5"/>
      <c r="AJ23" s="5"/>
      <c r="AK23" s="5"/>
      <c r="AL23" s="5"/>
      <c r="AM23" s="5"/>
      <c r="AN23" s="5"/>
      <c r="AO23" s="5"/>
      <c r="AP23" s="5"/>
    </row>
    <row r="24" spans="2:42" ht="13.9" customHeight="1">
      <c r="Y24" s="33" t="s">
        <v>2720</v>
      </c>
      <c r="Z24" s="33" t="s">
        <v>2666</v>
      </c>
      <c r="AA24" s="33" t="s">
        <v>2673</v>
      </c>
      <c r="AB24" s="33" t="s">
        <v>2790</v>
      </c>
      <c r="AC24" s="33" t="s">
        <v>2706</v>
      </c>
      <c r="AD24" s="33" t="s">
        <v>2721</v>
      </c>
      <c r="AE24" s="33" t="s">
        <v>2672</v>
      </c>
      <c r="AG24" s="5"/>
      <c r="AH24" s="5"/>
      <c r="AI24" s="252" t="s">
        <v>2666</v>
      </c>
      <c r="AJ24" s="33" t="s">
        <v>2673</v>
      </c>
      <c r="AK24" s="33" t="s">
        <v>2793</v>
      </c>
      <c r="AL24" s="33" t="s">
        <v>2706</v>
      </c>
      <c r="AM24" s="33" t="s">
        <v>2792</v>
      </c>
      <c r="AN24" s="33" t="s">
        <v>2672</v>
      </c>
      <c r="AO24" s="33" t="s">
        <v>2</v>
      </c>
      <c r="AP24" s="5"/>
    </row>
    <row r="25" spans="2:42" ht="15">
      <c r="X25" s="33" t="s">
        <v>2852</v>
      </c>
      <c r="Y25" s="112" t="s">
        <v>2252</v>
      </c>
      <c r="Z25" s="112" t="s">
        <v>2247</v>
      </c>
      <c r="AA25" s="112" t="s">
        <v>2242</v>
      </c>
      <c r="AB25" s="112" t="s">
        <v>2262</v>
      </c>
      <c r="AC25" s="112" t="s">
        <v>2267</v>
      </c>
      <c r="AD25" s="112" t="s">
        <v>2257</v>
      </c>
      <c r="AE25" s="112" t="s">
        <v>2237</v>
      </c>
      <c r="AF25" s="112" t="s">
        <v>2236</v>
      </c>
      <c r="AG25" s="5"/>
      <c r="AH25" s="33" t="s">
        <v>2852</v>
      </c>
      <c r="AI25" s="37">
        <f>Z29</f>
        <v>0</v>
      </c>
      <c r="AJ25" s="37">
        <f>AA29</f>
        <v>0</v>
      </c>
      <c r="AK25" s="37">
        <f>AB29</f>
        <v>40</v>
      </c>
      <c r="AL25" s="37">
        <f>SUM(Y29,AC29:AD29)</f>
        <v>19</v>
      </c>
      <c r="AM25" s="37">
        <f>SUM(Y29:AA29,AC29:AD29)</f>
        <v>19</v>
      </c>
      <c r="AN25" s="37">
        <f>AE29</f>
        <v>225</v>
      </c>
      <c r="AO25" s="37">
        <f>AF29</f>
        <v>285</v>
      </c>
      <c r="AP25" s="5"/>
    </row>
    <row r="26" spans="2:42">
      <c r="X26" s="33"/>
      <c r="Y26" s="33"/>
      <c r="Z26" s="33"/>
      <c r="AA26" s="33"/>
      <c r="AB26" s="33"/>
      <c r="AC26" s="33"/>
      <c r="AD26" s="33"/>
      <c r="AE26" s="33"/>
      <c r="AF26" s="33"/>
      <c r="AG26" s="5"/>
      <c r="AH26" s="33"/>
      <c r="AI26" s="5"/>
      <c r="AJ26" s="5"/>
      <c r="AK26" s="5"/>
      <c r="AL26" s="5"/>
      <c r="AM26" s="5"/>
      <c r="AN26" s="5"/>
      <c r="AO26" s="5"/>
      <c r="AP26" s="5"/>
    </row>
    <row r="27" spans="2:42">
      <c r="X27" s="33"/>
      <c r="Y27" s="33"/>
      <c r="Z27" s="33"/>
      <c r="AA27" s="33"/>
      <c r="AB27" s="33"/>
      <c r="AC27" s="33"/>
      <c r="AD27" s="33"/>
      <c r="AE27" s="33"/>
      <c r="AF27" s="33"/>
      <c r="AG27" s="5"/>
      <c r="AH27" s="33"/>
      <c r="AI27" s="5"/>
      <c r="AJ27" s="5"/>
      <c r="AK27" s="5"/>
      <c r="AL27" s="5"/>
      <c r="AM27" s="5"/>
      <c r="AN27" s="5"/>
      <c r="AO27" s="5"/>
      <c r="AP27" s="5"/>
    </row>
    <row r="28" spans="2:42">
      <c r="X28" s="5"/>
      <c r="Y28" t="s">
        <v>2720</v>
      </c>
      <c r="Z28" t="s">
        <v>2666</v>
      </c>
      <c r="AA28" t="s">
        <v>2673</v>
      </c>
      <c r="AB28" t="s">
        <v>2790</v>
      </c>
      <c r="AC28" t="s">
        <v>2706</v>
      </c>
      <c r="AD28" t="s">
        <v>2721</v>
      </c>
      <c r="AE28" t="s">
        <v>2672</v>
      </c>
      <c r="AF28" s="5"/>
      <c r="AG28" s="5"/>
      <c r="AH28" s="33"/>
      <c r="AI28" s="5"/>
      <c r="AJ28" s="5"/>
      <c r="AK28" s="5"/>
      <c r="AL28" s="5"/>
      <c r="AM28" s="5"/>
      <c r="AN28" s="5"/>
      <c r="AO28" s="5"/>
      <c r="AP28" s="5"/>
    </row>
    <row r="29" spans="2:42" ht="15">
      <c r="X29" s="33" t="s">
        <v>2852</v>
      </c>
      <c r="Y29" s="2">
        <v>4</v>
      </c>
      <c r="Z29" s="2">
        <v>0</v>
      </c>
      <c r="AA29" s="2">
        <v>0</v>
      </c>
      <c r="AB29" s="2">
        <v>40</v>
      </c>
      <c r="AC29" s="2">
        <v>15</v>
      </c>
      <c r="AD29" s="2">
        <v>0</v>
      </c>
      <c r="AE29" s="2">
        <v>225</v>
      </c>
      <c r="AF29" s="2">
        <v>285</v>
      </c>
      <c r="AG29" s="5"/>
      <c r="AH29" s="33"/>
      <c r="AI29" s="5"/>
      <c r="AJ29" s="5"/>
      <c r="AK29" s="5"/>
      <c r="AL29" s="5"/>
      <c r="AM29" s="5"/>
      <c r="AN29" s="5"/>
      <c r="AO29" s="5"/>
      <c r="AP29" s="5"/>
    </row>
    <row r="30" spans="2:42" ht="15">
      <c r="X30" s="33"/>
      <c r="Y30" s="33"/>
      <c r="Z30" s="33"/>
      <c r="AA30" s="33"/>
      <c r="AB30" s="33"/>
      <c r="AC30" s="33"/>
      <c r="AD30" s="33"/>
      <c r="AE30" s="33"/>
      <c r="AF30" s="33"/>
      <c r="AG30" s="5"/>
      <c r="AP30" s="37"/>
    </row>
    <row r="31" spans="2:42">
      <c r="AG31" s="5"/>
      <c r="AH31" s="5"/>
      <c r="AI31" s="5"/>
      <c r="AJ31" s="5"/>
      <c r="AK31" s="5"/>
      <c r="AL31" s="5"/>
      <c r="AM31" s="5"/>
      <c r="AN31" s="5"/>
      <c r="AO31" s="5"/>
      <c r="AP31" s="5"/>
    </row>
    <row r="32" spans="2:42">
      <c r="AH32" s="5"/>
      <c r="AI32" s="5"/>
      <c r="AJ32" s="5"/>
      <c r="AK32" s="5"/>
      <c r="AL32" s="5"/>
      <c r="AM32" s="5"/>
      <c r="AN32" s="5"/>
      <c r="AO32" s="5"/>
      <c r="AP32" s="5"/>
    </row>
    <row r="33" spans="2:44" ht="20.25" customHeight="1">
      <c r="X33" s="149" t="s">
        <v>2738</v>
      </c>
      <c r="AH33" s="149" t="s">
        <v>4</v>
      </c>
      <c r="AI33" s="37"/>
      <c r="AJ33" s="5"/>
      <c r="AK33" s="5"/>
      <c r="AL33" s="5"/>
      <c r="AM33" s="5"/>
      <c r="AN33" s="5"/>
      <c r="AO33" s="5"/>
      <c r="AP33" s="5"/>
    </row>
    <row r="34" spans="2:44">
      <c r="Y34" s="57" t="s">
        <v>2637</v>
      </c>
      <c r="Z34" s="57" t="s">
        <v>2637</v>
      </c>
      <c r="AA34" s="57" t="s">
        <v>2637</v>
      </c>
      <c r="AB34" s="57" t="s">
        <v>2637</v>
      </c>
      <c r="AC34" s="57" t="s">
        <v>2637</v>
      </c>
      <c r="AD34" s="57" t="s">
        <v>2637</v>
      </c>
      <c r="AE34" s="57" t="s">
        <v>2637</v>
      </c>
      <c r="AF34" s="5"/>
      <c r="AH34" s="5"/>
      <c r="AI34" s="5"/>
      <c r="AJ34" s="5"/>
      <c r="AK34" s="5"/>
      <c r="AL34" s="5"/>
      <c r="AM34" s="5"/>
      <c r="AN34" s="5"/>
      <c r="AO34" s="5"/>
      <c r="AP34" s="5"/>
    </row>
    <row r="35" spans="2:44">
      <c r="Y35" s="33" t="s">
        <v>2720</v>
      </c>
      <c r="Z35" s="33" t="s">
        <v>2666</v>
      </c>
      <c r="AA35" s="33" t="s">
        <v>2673</v>
      </c>
      <c r="AB35" s="33" t="s">
        <v>2790</v>
      </c>
      <c r="AC35" s="33" t="s">
        <v>2706</v>
      </c>
      <c r="AD35" s="33" t="s">
        <v>2721</v>
      </c>
      <c r="AE35" s="33" t="s">
        <v>2672</v>
      </c>
      <c r="AH35" s="5"/>
      <c r="AI35" s="252" t="s">
        <v>2666</v>
      </c>
      <c r="AJ35" s="33" t="s">
        <v>2673</v>
      </c>
      <c r="AK35" s="33" t="s">
        <v>2793</v>
      </c>
      <c r="AL35" s="33" t="s">
        <v>2706</v>
      </c>
      <c r="AM35" s="33" t="s">
        <v>2792</v>
      </c>
      <c r="AN35" s="33" t="s">
        <v>2672</v>
      </c>
      <c r="AO35" s="33" t="s">
        <v>2</v>
      </c>
      <c r="AP35" s="5"/>
    </row>
    <row r="36" spans="2:44" ht="15">
      <c r="X36" s="33" t="s">
        <v>2852</v>
      </c>
      <c r="Y36" s="112" t="s">
        <v>2288</v>
      </c>
      <c r="Z36" s="112" t="s">
        <v>2283</v>
      </c>
      <c r="AA36" s="112" t="s">
        <v>2278</v>
      </c>
      <c r="AB36" s="112" t="s">
        <v>2298</v>
      </c>
      <c r="AC36" s="112" t="s">
        <v>2303</v>
      </c>
      <c r="AD36" s="112" t="s">
        <v>2293</v>
      </c>
      <c r="AE36" s="112" t="s">
        <v>2273</v>
      </c>
      <c r="AF36" s="112" t="s">
        <v>2272</v>
      </c>
      <c r="AH36" s="33" t="s">
        <v>2852</v>
      </c>
      <c r="AI36" s="37">
        <f>Z40</f>
        <v>0</v>
      </c>
      <c r="AJ36" s="37">
        <f>AA40</f>
        <v>0</v>
      </c>
      <c r="AK36" s="37">
        <f>AB40</f>
        <v>65</v>
      </c>
      <c r="AL36" s="37">
        <f>SUM(Y40, AC40:AD40)</f>
        <v>0</v>
      </c>
      <c r="AM36" s="37">
        <f>SUM(Y40:AA40,AC40:AD40)</f>
        <v>0</v>
      </c>
      <c r="AN36" s="37">
        <f>AE40</f>
        <v>60</v>
      </c>
      <c r="AO36" s="37">
        <f>AF40</f>
        <v>130</v>
      </c>
      <c r="AP36" s="5"/>
    </row>
    <row r="37" spans="2:44">
      <c r="X37" s="33"/>
      <c r="Y37" s="33"/>
      <c r="Z37" s="33"/>
      <c r="AA37" s="33"/>
      <c r="AB37" s="33"/>
      <c r="AC37" s="33"/>
      <c r="AD37" s="33"/>
      <c r="AE37" s="33"/>
      <c r="AF37" s="33"/>
      <c r="AH37" s="33"/>
      <c r="AI37" s="5"/>
      <c r="AJ37" s="5"/>
      <c r="AK37" s="5"/>
      <c r="AL37" s="5"/>
      <c r="AM37" s="5"/>
      <c r="AN37" s="5"/>
      <c r="AO37" s="5"/>
      <c r="AP37" s="5"/>
    </row>
    <row r="38" spans="2:44">
      <c r="S38" t="s">
        <v>2791</v>
      </c>
      <c r="X38" s="33"/>
      <c r="Y38" s="33"/>
      <c r="Z38" s="33"/>
      <c r="AA38" s="33"/>
      <c r="AB38" s="33"/>
      <c r="AC38" s="33"/>
      <c r="AD38" s="33"/>
      <c r="AE38" s="33"/>
      <c r="AF38" s="33"/>
      <c r="AH38" s="33"/>
      <c r="AI38" s="5"/>
      <c r="AJ38" s="5"/>
      <c r="AK38" s="5"/>
      <c r="AL38" s="5"/>
      <c r="AM38" s="5"/>
      <c r="AN38" s="5"/>
      <c r="AO38" s="5"/>
      <c r="AP38" s="5"/>
    </row>
    <row r="39" spans="2:44">
      <c r="X39" s="5"/>
      <c r="Y39" t="s">
        <v>2720</v>
      </c>
      <c r="Z39" t="s">
        <v>2666</v>
      </c>
      <c r="AA39" t="s">
        <v>2673</v>
      </c>
      <c r="AB39" t="s">
        <v>2790</v>
      </c>
      <c r="AC39" t="s">
        <v>2706</v>
      </c>
      <c r="AD39" t="s">
        <v>2721</v>
      </c>
      <c r="AE39" t="s">
        <v>2672</v>
      </c>
      <c r="AG39" s="5"/>
      <c r="AH39" s="33"/>
      <c r="AI39" s="5"/>
      <c r="AJ39" s="5"/>
      <c r="AK39" s="5"/>
      <c r="AL39" s="5"/>
      <c r="AM39" s="5"/>
      <c r="AN39" s="5"/>
      <c r="AO39" s="5"/>
      <c r="AP39" s="5"/>
    </row>
    <row r="40" spans="2:44" ht="15">
      <c r="X40" s="33" t="s">
        <v>2852</v>
      </c>
      <c r="Y40" s="2">
        <v>0</v>
      </c>
      <c r="Z40" s="2">
        <v>0</v>
      </c>
      <c r="AA40" s="2">
        <v>0</v>
      </c>
      <c r="AB40" s="2">
        <v>65</v>
      </c>
      <c r="AC40" s="2">
        <v>0</v>
      </c>
      <c r="AD40" s="2">
        <v>0</v>
      </c>
      <c r="AE40" s="2">
        <v>60</v>
      </c>
      <c r="AF40" s="2">
        <v>130</v>
      </c>
      <c r="AG40" s="5"/>
      <c r="AH40" s="33"/>
      <c r="AI40" s="5"/>
      <c r="AJ40" s="5"/>
      <c r="AK40" s="5"/>
      <c r="AL40" s="5"/>
      <c r="AM40" s="5"/>
      <c r="AN40" s="5"/>
      <c r="AO40" s="5"/>
      <c r="AP40" s="5"/>
    </row>
    <row r="41" spans="2:44" ht="15">
      <c r="X41" s="149"/>
      <c r="Y41" s="5"/>
      <c r="Z41" s="5"/>
      <c r="AA41" s="5"/>
      <c r="AB41" s="5"/>
      <c r="AC41" s="5"/>
      <c r="AD41" s="5"/>
      <c r="AE41" s="5"/>
      <c r="AF41" s="5"/>
      <c r="AG41" s="5"/>
      <c r="AP41" s="37"/>
    </row>
    <row r="42" spans="2:44" ht="15">
      <c r="X42" s="149"/>
      <c r="Y42" s="5"/>
      <c r="Z42" s="5"/>
      <c r="AA42" s="5"/>
      <c r="AB42" s="5"/>
      <c r="AC42" s="5"/>
      <c r="AD42" s="5"/>
      <c r="AE42" s="5"/>
      <c r="AF42" s="5"/>
      <c r="AG42" s="5"/>
    </row>
    <row r="43" spans="2:44">
      <c r="AF43" s="5"/>
      <c r="AG43" s="5"/>
    </row>
    <row r="44" spans="2:44" ht="17.25" thickBot="1">
      <c r="X44" s="62" t="str">
        <f>County</f>
        <v>Chelan County, Washington</v>
      </c>
      <c r="Y44" s="62"/>
      <c r="Z44" s="62"/>
      <c r="AA44" s="62"/>
      <c r="AB44" s="62"/>
      <c r="AC44" s="62"/>
      <c r="AD44" s="62"/>
      <c r="AE44" s="62"/>
      <c r="AF44" s="62"/>
      <c r="AG44" s="62"/>
      <c r="AH44" s="62"/>
      <c r="AI44" s="62"/>
      <c r="AJ44" s="62"/>
      <c r="AK44" s="62"/>
      <c r="AL44" s="62"/>
      <c r="AM44" s="62"/>
      <c r="AN44" s="62"/>
      <c r="AO44" s="62"/>
      <c r="AP44" s="62"/>
      <c r="AQ44" s="62"/>
      <c r="AR44" s="62"/>
    </row>
    <row r="45" spans="2:44" ht="15" thickTop="1">
      <c r="B45" s="278" t="s">
        <v>2780</v>
      </c>
      <c r="C45" s="278"/>
      <c r="D45" s="278"/>
      <c r="E45" s="278"/>
      <c r="F45" s="278"/>
      <c r="G45" s="278"/>
      <c r="H45" s="278"/>
      <c r="I45" s="278"/>
      <c r="J45" s="278"/>
      <c r="K45" s="278"/>
      <c r="L45" s="278"/>
    </row>
    <row r="46" spans="2:44" ht="14.25" customHeight="1">
      <c r="B46" s="278"/>
      <c r="C46" s="278"/>
      <c r="D46" s="278"/>
      <c r="E46" s="278"/>
      <c r="F46" s="278"/>
      <c r="G46" s="278"/>
      <c r="H46" s="278"/>
      <c r="I46" s="278"/>
      <c r="J46" s="278"/>
      <c r="K46" s="278"/>
      <c r="L46" s="278"/>
    </row>
    <row r="47" spans="2:44" ht="22.5" customHeight="1">
      <c r="B47" s="303" t="str">
        <f>"Chart 16a. "&amp;City_label&amp;" total number of owner and renter households by race and ethnicity, 2019"</f>
        <v>Chart 16a. Entiat total number of owner and renter households by race and ethnicity, 2019</v>
      </c>
      <c r="C47" s="303"/>
      <c r="D47" s="303"/>
      <c r="E47" s="303"/>
      <c r="F47" s="303"/>
      <c r="G47" s="303"/>
      <c r="H47" s="303"/>
      <c r="I47" s="303"/>
      <c r="J47" s="303"/>
      <c r="K47" s="303"/>
      <c r="X47" s="149" t="s">
        <v>2851</v>
      </c>
      <c r="Y47" s="5"/>
      <c r="Z47" s="5"/>
      <c r="AA47" s="5"/>
      <c r="AB47" s="5"/>
      <c r="AC47" s="5"/>
      <c r="AD47" s="5"/>
      <c r="AE47" s="5"/>
      <c r="AF47" s="5"/>
      <c r="AG47" s="5"/>
      <c r="AH47" s="149" t="s">
        <v>3</v>
      </c>
      <c r="AI47" s="37"/>
      <c r="AJ47" s="37"/>
      <c r="AK47" s="57" t="s">
        <v>2781</v>
      </c>
      <c r="AL47" s="5"/>
      <c r="AM47" s="5"/>
      <c r="AN47" s="5"/>
      <c r="AO47" s="5"/>
      <c r="AP47" s="5"/>
    </row>
    <row r="48" spans="2:44" ht="22.5" customHeight="1">
      <c r="B48" s="303"/>
      <c r="C48" s="303"/>
      <c r="D48" s="303"/>
      <c r="E48" s="303"/>
      <c r="F48" s="303"/>
      <c r="G48" s="303"/>
      <c r="H48" s="303"/>
      <c r="I48" s="303"/>
      <c r="J48" s="303"/>
      <c r="K48" s="303"/>
      <c r="X48" s="149"/>
      <c r="Y48" s="341" t="s">
        <v>2720</v>
      </c>
      <c r="Z48" s="298" t="s">
        <v>2666</v>
      </c>
      <c r="AA48" s="341" t="s">
        <v>2673</v>
      </c>
      <c r="AB48" s="341" t="s">
        <v>2790</v>
      </c>
      <c r="AC48" s="341" t="s">
        <v>2706</v>
      </c>
      <c r="AD48" s="341" t="s">
        <v>2721</v>
      </c>
      <c r="AE48" s="298" t="s">
        <v>2672</v>
      </c>
      <c r="AF48" s="298" t="s">
        <v>2</v>
      </c>
      <c r="AG48" s="5"/>
      <c r="AH48" s="37"/>
      <c r="AI48" s="369" t="s">
        <v>2666</v>
      </c>
      <c r="AJ48" s="369" t="s">
        <v>2673</v>
      </c>
      <c r="AK48" s="369" t="s">
        <v>2793</v>
      </c>
      <c r="AL48" s="369" t="s">
        <v>2706</v>
      </c>
      <c r="AM48" s="369" t="s">
        <v>2792</v>
      </c>
      <c r="AN48" s="369" t="s">
        <v>2672</v>
      </c>
      <c r="AO48" s="369" t="s">
        <v>2</v>
      </c>
    </row>
    <row r="49" spans="24:44" ht="21" customHeight="1">
      <c r="X49" s="5"/>
      <c r="Y49" s="341"/>
      <c r="Z49" s="298"/>
      <c r="AA49" s="341"/>
      <c r="AB49" s="341"/>
      <c r="AC49" s="341"/>
      <c r="AD49" s="341"/>
      <c r="AE49" s="298"/>
      <c r="AF49" s="298"/>
      <c r="AG49" s="5"/>
      <c r="AH49" s="5"/>
      <c r="AI49" s="369"/>
      <c r="AJ49" s="369"/>
      <c r="AK49" s="369"/>
      <c r="AL49" s="369"/>
      <c r="AM49" s="369"/>
      <c r="AN49" s="369"/>
      <c r="AO49" s="369"/>
    </row>
    <row r="50" spans="24:44" ht="13.9" customHeight="1">
      <c r="X50" s="5"/>
      <c r="Y50" s="341"/>
      <c r="Z50" s="298"/>
      <c r="AA50" s="341"/>
      <c r="AB50" s="341"/>
      <c r="AC50" s="341"/>
      <c r="AD50" s="341"/>
      <c r="AE50" s="298"/>
      <c r="AF50" s="298"/>
      <c r="AG50" s="5"/>
      <c r="AH50" s="5"/>
      <c r="AI50" s="369"/>
      <c r="AJ50" s="369"/>
      <c r="AK50" s="369"/>
      <c r="AL50" s="369"/>
      <c r="AM50" s="369"/>
      <c r="AN50" s="369"/>
      <c r="AO50" s="369"/>
    </row>
    <row r="51" spans="24:44" ht="18.75" customHeight="1">
      <c r="X51" s="33" t="s">
        <v>2852</v>
      </c>
      <c r="Y51" s="37">
        <f t="shared" ref="Y51:AF51" si="8">SUM(Y66,Y77)</f>
        <v>160</v>
      </c>
      <c r="Z51" s="37">
        <f t="shared" si="8"/>
        <v>185</v>
      </c>
      <c r="AA51" s="37">
        <f t="shared" si="8"/>
        <v>135</v>
      </c>
      <c r="AB51" s="37">
        <f t="shared" si="8"/>
        <v>5275</v>
      </c>
      <c r="AC51" s="37">
        <f t="shared" si="8"/>
        <v>395</v>
      </c>
      <c r="AD51" s="37">
        <f t="shared" si="8"/>
        <v>0</v>
      </c>
      <c r="AE51" s="37">
        <f t="shared" si="8"/>
        <v>22225</v>
      </c>
      <c r="AF51" s="37">
        <f t="shared" si="8"/>
        <v>28385</v>
      </c>
      <c r="AG51" s="5"/>
      <c r="AH51" t="s">
        <v>5</v>
      </c>
      <c r="AI51" s="5">
        <f>AI62</f>
        <v>65</v>
      </c>
      <c r="AJ51" s="5">
        <f t="shared" ref="AJ51:AO51" si="9">AJ62</f>
        <v>10</v>
      </c>
      <c r="AK51" s="5">
        <f t="shared" si="9"/>
        <v>2375</v>
      </c>
      <c r="AL51" s="5">
        <f t="shared" si="9"/>
        <v>335</v>
      </c>
      <c r="AM51" s="5">
        <f t="shared" si="9"/>
        <v>2785</v>
      </c>
      <c r="AN51" s="5">
        <f t="shared" si="9"/>
        <v>15500</v>
      </c>
      <c r="AO51" s="5">
        <f t="shared" si="9"/>
        <v>18285</v>
      </c>
      <c r="AP51" s="37"/>
    </row>
    <row r="52" spans="24:44">
      <c r="X52" s="33"/>
      <c r="Y52" s="5"/>
      <c r="Z52" s="5"/>
      <c r="AA52" s="5"/>
      <c r="AB52" s="5"/>
      <c r="AC52" s="5"/>
      <c r="AD52" s="5"/>
      <c r="AE52" s="5"/>
      <c r="AF52" s="5"/>
      <c r="AG52" s="5"/>
      <c r="AH52" s="33" t="s">
        <v>4</v>
      </c>
      <c r="AI52" s="5">
        <f>AI73</f>
        <v>120</v>
      </c>
      <c r="AJ52" s="5">
        <f t="shared" ref="AJ52:AO52" si="10">AJ73</f>
        <v>125</v>
      </c>
      <c r="AK52" s="5">
        <f t="shared" si="10"/>
        <v>2900</v>
      </c>
      <c r="AL52" s="5">
        <f t="shared" si="10"/>
        <v>220</v>
      </c>
      <c r="AM52" s="5">
        <f t="shared" si="10"/>
        <v>3365</v>
      </c>
      <c r="AN52" s="5">
        <f t="shared" si="10"/>
        <v>6725</v>
      </c>
      <c r="AO52" s="5">
        <f t="shared" si="10"/>
        <v>10100</v>
      </c>
      <c r="AP52" s="5"/>
      <c r="AR52" s="31"/>
    </row>
    <row r="53" spans="24:44" ht="15">
      <c r="X53" s="33"/>
      <c r="Y53" s="5"/>
      <c r="Z53" s="5"/>
      <c r="AA53" s="5"/>
      <c r="AB53" s="5"/>
      <c r="AC53" s="5"/>
      <c r="AD53" s="5"/>
      <c r="AE53" s="251" t="s">
        <v>2854</v>
      </c>
      <c r="AF53" s="5">
        <f>SUM(Y51:AE51)</f>
        <v>28375</v>
      </c>
      <c r="AG53" s="5"/>
      <c r="AH53" s="34" t="s">
        <v>1</v>
      </c>
      <c r="AI53" s="34">
        <f>Z51</f>
        <v>185</v>
      </c>
      <c r="AJ53" s="34">
        <f>AA51</f>
        <v>135</v>
      </c>
      <c r="AK53" s="37">
        <f>AB51</f>
        <v>5275</v>
      </c>
      <c r="AL53" s="37">
        <f>SUM(Y51, AC51:AD51)</f>
        <v>555</v>
      </c>
      <c r="AM53" s="37">
        <f>SUM(Y51:AD51)</f>
        <v>6150</v>
      </c>
      <c r="AN53" s="37">
        <f>AE51</f>
        <v>22225</v>
      </c>
      <c r="AO53" s="37">
        <f>AF51</f>
        <v>28385</v>
      </c>
      <c r="AP53" s="5"/>
    </row>
    <row r="54" spans="24:44">
      <c r="X54" s="33"/>
      <c r="Y54" s="5"/>
      <c r="Z54" s="5"/>
      <c r="AA54" s="5"/>
      <c r="AB54" s="5"/>
      <c r="AC54" s="5"/>
      <c r="AD54" s="5"/>
      <c r="AE54" s="250"/>
      <c r="AG54" s="5"/>
      <c r="AH54" s="33"/>
      <c r="AI54" s="5"/>
      <c r="AJ54" s="5"/>
      <c r="AK54" s="5"/>
      <c r="AL54" s="5"/>
      <c r="AM54" s="5"/>
      <c r="AN54" s="5"/>
      <c r="AO54" s="5"/>
      <c r="AP54" s="5"/>
    </row>
    <row r="55" spans="24:44">
      <c r="AE55" s="59" t="s">
        <v>2852</v>
      </c>
      <c r="AF55" s="112" t="s">
        <v>2235</v>
      </c>
      <c r="AG55" s="5"/>
      <c r="AH55" t="s">
        <v>5</v>
      </c>
      <c r="AI55" s="6">
        <f>AI51/AI$53</f>
        <v>0.35135135135135137</v>
      </c>
      <c r="AJ55" s="6">
        <f t="shared" ref="AJ55:AO55" si="11">AJ51/AJ$53</f>
        <v>7.407407407407407E-2</v>
      </c>
      <c r="AK55" s="6">
        <f t="shared" si="11"/>
        <v>0.45023696682464454</v>
      </c>
      <c r="AL55" s="6">
        <f t="shared" si="11"/>
        <v>0.60360360360360366</v>
      </c>
      <c r="AM55" s="6">
        <f t="shared" si="11"/>
        <v>0.45284552845528453</v>
      </c>
      <c r="AN55" s="6">
        <f t="shared" si="11"/>
        <v>0.69741282339707533</v>
      </c>
      <c r="AO55" s="6">
        <f t="shared" si="11"/>
        <v>0.64417826316716575</v>
      </c>
      <c r="AP55" s="5"/>
    </row>
    <row r="56" spans="24:44" ht="15">
      <c r="AG56" s="5"/>
      <c r="AH56" s="33" t="s">
        <v>4</v>
      </c>
      <c r="AI56" s="6">
        <f>AI52/AI$53</f>
        <v>0.64864864864864868</v>
      </c>
      <c r="AJ56" s="6">
        <f t="shared" ref="AJ56:AO56" si="12">AJ52/AJ$53</f>
        <v>0.92592592592592593</v>
      </c>
      <c r="AK56" s="6">
        <f t="shared" si="12"/>
        <v>0.54976303317535546</v>
      </c>
      <c r="AL56" s="6">
        <f t="shared" si="12"/>
        <v>0.3963963963963964</v>
      </c>
      <c r="AM56" s="6">
        <f t="shared" si="12"/>
        <v>0.54715447154471542</v>
      </c>
      <c r="AN56" s="6">
        <f t="shared" si="12"/>
        <v>0.30258717660292461</v>
      </c>
      <c r="AO56" s="6">
        <f t="shared" si="12"/>
        <v>0.35582173683283425</v>
      </c>
      <c r="AP56" s="37"/>
    </row>
    <row r="57" spans="24:44">
      <c r="X57" s="248"/>
      <c r="Y57" s="249"/>
      <c r="Z57" s="249"/>
      <c r="AA57" s="249"/>
      <c r="AB57" s="249"/>
      <c r="AC57" s="249"/>
      <c r="AD57" s="249"/>
      <c r="AE57" s="249"/>
      <c r="AG57" s="5"/>
      <c r="AH57" s="5" t="s">
        <v>1</v>
      </c>
      <c r="AI57" s="6">
        <f>SUM(AI55:AI56)</f>
        <v>1</v>
      </c>
      <c r="AJ57" s="6">
        <f t="shared" ref="AJ57" si="13">SUM(AJ55:AJ56)</f>
        <v>1</v>
      </c>
      <c r="AK57" s="6">
        <f t="shared" ref="AK57" si="14">SUM(AK55:AK56)</f>
        <v>1</v>
      </c>
      <c r="AL57" s="6">
        <f t="shared" ref="AL57" si="15">SUM(AL55:AL56)</f>
        <v>1</v>
      </c>
      <c r="AM57" s="6">
        <f t="shared" ref="AM57" si="16">SUM(AM55:AM56)</f>
        <v>1</v>
      </c>
      <c r="AN57" s="6">
        <f t="shared" ref="AN57" si="17">SUM(AN55:AN56)</f>
        <v>1</v>
      </c>
      <c r="AO57" s="6">
        <f t="shared" ref="AO57" si="18">SUM(AO55:AO56)</f>
        <v>1</v>
      </c>
      <c r="AP57" s="5"/>
    </row>
    <row r="58" spans="24:44">
      <c r="X58" s="5"/>
      <c r="Y58" s="5"/>
      <c r="Z58" s="5"/>
      <c r="AA58" s="5"/>
      <c r="AB58" s="5"/>
      <c r="AC58" s="5"/>
      <c r="AD58" s="5"/>
      <c r="AE58" s="5"/>
      <c r="AF58" s="5"/>
      <c r="AG58" s="5"/>
      <c r="AH58" s="5"/>
      <c r="AI58" s="5"/>
      <c r="AJ58" s="5"/>
      <c r="AK58" s="5"/>
      <c r="AL58" s="5"/>
      <c r="AM58" s="5"/>
      <c r="AN58" s="5"/>
      <c r="AO58" s="5"/>
      <c r="AP58" s="5"/>
    </row>
    <row r="59" spans="24:44" ht="15">
      <c r="X59" s="149" t="s">
        <v>2737</v>
      </c>
      <c r="AG59" s="5"/>
      <c r="AH59" s="149" t="s">
        <v>5</v>
      </c>
      <c r="AI59" s="37"/>
      <c r="AJ59" s="5"/>
      <c r="AK59" s="5"/>
      <c r="AL59" s="5"/>
      <c r="AM59" s="5"/>
      <c r="AN59" s="5"/>
      <c r="AO59" s="5"/>
      <c r="AP59" s="5"/>
    </row>
    <row r="60" spans="24:44">
      <c r="Y60" s="57" t="s">
        <v>2638</v>
      </c>
      <c r="Z60" s="57" t="s">
        <v>2638</v>
      </c>
      <c r="AA60" s="57" t="s">
        <v>2638</v>
      </c>
      <c r="AB60" s="57" t="s">
        <v>2638</v>
      </c>
      <c r="AC60" s="57" t="s">
        <v>2638</v>
      </c>
      <c r="AD60" s="57" t="s">
        <v>2638</v>
      </c>
      <c r="AE60" s="57" t="s">
        <v>2638</v>
      </c>
      <c r="AF60" s="57" t="s">
        <v>2638</v>
      </c>
      <c r="AG60" s="5"/>
      <c r="AH60" s="5"/>
      <c r="AI60" s="5"/>
      <c r="AJ60" s="5"/>
      <c r="AK60" s="5"/>
      <c r="AL60" s="5"/>
      <c r="AM60" s="5"/>
      <c r="AN60" s="5"/>
      <c r="AO60" s="5"/>
      <c r="AP60" s="5"/>
    </row>
    <row r="61" spans="24:44">
      <c r="Y61" s="33" t="s">
        <v>2720</v>
      </c>
      <c r="Z61" s="33" t="s">
        <v>2666</v>
      </c>
      <c r="AA61" s="33" t="s">
        <v>2673</v>
      </c>
      <c r="AB61" s="33" t="s">
        <v>2790</v>
      </c>
      <c r="AC61" s="33" t="s">
        <v>2706</v>
      </c>
      <c r="AD61" s="33" t="s">
        <v>2721</v>
      </c>
      <c r="AE61" s="33" t="s">
        <v>2672</v>
      </c>
      <c r="AG61" s="5"/>
      <c r="AH61" s="5"/>
      <c r="AI61" s="252" t="s">
        <v>2666</v>
      </c>
      <c r="AJ61" s="33" t="s">
        <v>2673</v>
      </c>
      <c r="AK61" s="33" t="s">
        <v>2793</v>
      </c>
      <c r="AL61" s="33" t="s">
        <v>2706</v>
      </c>
      <c r="AM61" s="33" t="s">
        <v>2792</v>
      </c>
      <c r="AN61" s="33" t="s">
        <v>2672</v>
      </c>
      <c r="AO61" s="33" t="s">
        <v>2</v>
      </c>
      <c r="AP61" s="5"/>
    </row>
    <row r="62" spans="24:44" ht="15">
      <c r="X62" s="33" t="s">
        <v>2852</v>
      </c>
      <c r="Y62" s="112" t="s">
        <v>2252</v>
      </c>
      <c r="Z62" s="112" t="s">
        <v>2247</v>
      </c>
      <c r="AA62" s="112" t="s">
        <v>2242</v>
      </c>
      <c r="AB62" s="112" t="s">
        <v>2262</v>
      </c>
      <c r="AC62" s="112" t="s">
        <v>2267</v>
      </c>
      <c r="AD62" s="112" t="s">
        <v>2257</v>
      </c>
      <c r="AE62" s="112" t="s">
        <v>2237</v>
      </c>
      <c r="AF62" s="112" t="s">
        <v>2236</v>
      </c>
      <c r="AG62" s="5"/>
      <c r="AH62" s="33" t="s">
        <v>2852</v>
      </c>
      <c r="AI62" s="37">
        <f>Z66</f>
        <v>65</v>
      </c>
      <c r="AJ62" s="37">
        <f>AA66</f>
        <v>10</v>
      </c>
      <c r="AK62" s="37">
        <f>AB66</f>
        <v>2375</v>
      </c>
      <c r="AL62" s="37">
        <f>SUM(Y66,AC66:AD66)</f>
        <v>335</v>
      </c>
      <c r="AM62" s="37">
        <f>SUM(Y66:AD66)</f>
        <v>2785</v>
      </c>
      <c r="AN62" s="37">
        <f>AE66</f>
        <v>15500</v>
      </c>
      <c r="AO62" s="37">
        <f>AF66</f>
        <v>18285</v>
      </c>
      <c r="AP62" s="5"/>
    </row>
    <row r="63" spans="24:44">
      <c r="X63" s="33"/>
      <c r="Y63" s="33"/>
      <c r="Z63" s="33"/>
      <c r="AA63" s="33"/>
      <c r="AB63" s="33"/>
      <c r="AC63" s="33"/>
      <c r="AD63" s="33"/>
      <c r="AE63" s="33"/>
      <c r="AF63" s="33"/>
      <c r="AG63" s="5"/>
      <c r="AH63" s="33"/>
      <c r="AI63" s="5"/>
      <c r="AJ63" s="5"/>
      <c r="AK63" s="5"/>
      <c r="AL63" s="5"/>
      <c r="AM63" s="5"/>
      <c r="AN63" s="5"/>
      <c r="AO63" s="5"/>
      <c r="AP63" s="5"/>
    </row>
    <row r="64" spans="24:44">
      <c r="X64" s="33"/>
      <c r="Y64" s="33"/>
      <c r="Z64" s="33"/>
      <c r="AA64" s="33"/>
      <c r="AB64" s="33"/>
      <c r="AC64" s="33"/>
      <c r="AD64" s="33"/>
      <c r="AE64" s="33"/>
      <c r="AF64" s="33"/>
      <c r="AG64" s="5"/>
      <c r="AH64" s="33"/>
      <c r="AI64" s="5"/>
      <c r="AJ64" s="5"/>
      <c r="AK64" s="5"/>
      <c r="AL64" s="5"/>
      <c r="AM64" s="5"/>
      <c r="AN64" s="5"/>
      <c r="AO64" s="5"/>
      <c r="AP64" s="5"/>
    </row>
    <row r="65" spans="2:42">
      <c r="X65" s="5"/>
      <c r="Y65" t="s">
        <v>2720</v>
      </c>
      <c r="Z65" t="s">
        <v>2666</v>
      </c>
      <c r="AA65" t="s">
        <v>2673</v>
      </c>
      <c r="AB65" t="s">
        <v>2790</v>
      </c>
      <c r="AC65" t="s">
        <v>2706</v>
      </c>
      <c r="AD65" t="s">
        <v>2721</v>
      </c>
      <c r="AE65" t="s">
        <v>2672</v>
      </c>
      <c r="AF65" s="5"/>
      <c r="AG65" s="5"/>
      <c r="AH65" s="33"/>
      <c r="AI65" s="5"/>
      <c r="AJ65" s="5"/>
      <c r="AK65" s="5"/>
      <c r="AL65" s="5"/>
      <c r="AM65" s="5"/>
      <c r="AN65" s="5"/>
      <c r="AO65" s="5"/>
      <c r="AP65" s="5"/>
    </row>
    <row r="66" spans="2:42" ht="15">
      <c r="X66" s="33" t="s">
        <v>2852</v>
      </c>
      <c r="Y66" s="2">
        <v>125</v>
      </c>
      <c r="Z66" s="2">
        <v>65</v>
      </c>
      <c r="AA66" s="2">
        <v>10</v>
      </c>
      <c r="AB66" s="2">
        <v>2375</v>
      </c>
      <c r="AC66" s="2">
        <v>210</v>
      </c>
      <c r="AD66" s="2">
        <v>0</v>
      </c>
      <c r="AE66" s="2">
        <v>15500</v>
      </c>
      <c r="AF66" s="2">
        <v>18285</v>
      </c>
      <c r="AG66" s="5"/>
      <c r="AH66" s="33"/>
      <c r="AI66" s="5"/>
      <c r="AJ66" s="5"/>
      <c r="AK66" s="5"/>
      <c r="AL66" s="5"/>
      <c r="AM66" s="5"/>
      <c r="AN66" s="5"/>
      <c r="AO66" s="5"/>
      <c r="AP66" s="5"/>
    </row>
    <row r="67" spans="2:42" ht="15">
      <c r="B67" s="278" t="s">
        <v>2780</v>
      </c>
      <c r="X67" s="33"/>
      <c r="Y67" s="33"/>
      <c r="Z67" s="33"/>
      <c r="AA67" s="33"/>
      <c r="AB67" s="33"/>
      <c r="AC67" s="33"/>
      <c r="AD67" s="33"/>
      <c r="AE67" s="33"/>
      <c r="AF67" s="33"/>
      <c r="AG67" s="5"/>
      <c r="AP67" s="37"/>
    </row>
    <row r="68" spans="2:42">
      <c r="B68" s="278"/>
      <c r="C68" s="278"/>
      <c r="D68" s="278"/>
      <c r="E68" s="278"/>
      <c r="F68" s="278"/>
      <c r="G68" s="278"/>
      <c r="H68" s="278"/>
      <c r="I68" s="278"/>
      <c r="J68" s="278"/>
      <c r="K68" s="278"/>
      <c r="L68" s="278"/>
      <c r="AG68" s="5"/>
      <c r="AH68" s="5"/>
      <c r="AI68" s="5"/>
      <c r="AJ68" s="5"/>
      <c r="AK68" s="5"/>
      <c r="AL68" s="5"/>
      <c r="AM68" s="5"/>
      <c r="AN68" s="5"/>
      <c r="AO68" s="5"/>
      <c r="AP68" s="5"/>
    </row>
    <row r="69" spans="2:42" ht="18.75" customHeight="1">
      <c r="B69" s="303" t="str">
        <f>"Chart 17. "&amp;City_label&amp;" percent owner and renter households by race and ethnicity, 2019 "</f>
        <v xml:space="preserve">Chart 17. Entiat percent owner and renter households by race and ethnicity, 2019 </v>
      </c>
      <c r="C69" s="303"/>
      <c r="D69" s="303"/>
      <c r="E69" s="303"/>
      <c r="F69" s="303"/>
      <c r="G69" s="303"/>
      <c r="H69" s="303"/>
      <c r="I69" s="303"/>
      <c r="J69" s="303"/>
      <c r="K69" s="303"/>
      <c r="AH69" s="5"/>
      <c r="AI69" s="5"/>
      <c r="AJ69" s="5"/>
      <c r="AK69" s="5"/>
      <c r="AL69" s="5"/>
      <c r="AM69" s="5"/>
      <c r="AN69" s="5"/>
      <c r="AO69" s="5"/>
      <c r="AP69" s="5"/>
    </row>
    <row r="70" spans="2:42" ht="18.75" customHeight="1">
      <c r="B70" s="303"/>
      <c r="C70" s="303"/>
      <c r="D70" s="303"/>
      <c r="E70" s="303"/>
      <c r="F70" s="303"/>
      <c r="G70" s="303"/>
      <c r="H70" s="303"/>
      <c r="I70" s="303"/>
      <c r="J70" s="303"/>
      <c r="K70" s="303"/>
      <c r="X70" s="149" t="s">
        <v>2738</v>
      </c>
      <c r="AH70" s="149" t="s">
        <v>4</v>
      </c>
      <c r="AI70" s="37"/>
      <c r="AJ70" s="5"/>
      <c r="AK70" s="5"/>
      <c r="AL70" s="5"/>
      <c r="AM70" s="5"/>
      <c r="AN70" s="5"/>
      <c r="AO70" s="5"/>
      <c r="AP70" s="5"/>
    </row>
    <row r="71" spans="2:42" ht="21.75" customHeight="1">
      <c r="Y71" s="57" t="s">
        <v>2638</v>
      </c>
      <c r="Z71" s="57" t="s">
        <v>2638</v>
      </c>
      <c r="AA71" s="57" t="s">
        <v>2638</v>
      </c>
      <c r="AB71" s="57" t="s">
        <v>2638</v>
      </c>
      <c r="AC71" s="57" t="s">
        <v>2638</v>
      </c>
      <c r="AD71" s="57" t="s">
        <v>2638</v>
      </c>
      <c r="AE71" s="57" t="s">
        <v>2638</v>
      </c>
      <c r="AF71" s="57" t="s">
        <v>2638</v>
      </c>
      <c r="AH71" s="5"/>
      <c r="AI71" s="5"/>
      <c r="AJ71" s="5"/>
      <c r="AK71" s="5"/>
      <c r="AL71" s="5"/>
      <c r="AM71" s="5"/>
      <c r="AN71" s="5"/>
      <c r="AO71" s="5"/>
      <c r="AP71" s="5"/>
    </row>
    <row r="72" spans="2:42" ht="21.75" customHeight="1">
      <c r="Y72" s="33" t="s">
        <v>2720</v>
      </c>
      <c r="Z72" s="33" t="s">
        <v>2666</v>
      </c>
      <c r="AA72" s="33" t="s">
        <v>2673</v>
      </c>
      <c r="AB72" s="33" t="s">
        <v>2790</v>
      </c>
      <c r="AC72" s="33" t="s">
        <v>2706</v>
      </c>
      <c r="AD72" s="33" t="s">
        <v>2721</v>
      </c>
      <c r="AE72" s="33" t="s">
        <v>2672</v>
      </c>
      <c r="AH72" s="5"/>
      <c r="AI72" s="252" t="s">
        <v>2666</v>
      </c>
      <c r="AJ72" s="33" t="s">
        <v>2673</v>
      </c>
      <c r="AK72" s="33" t="s">
        <v>2793</v>
      </c>
      <c r="AL72" s="33" t="s">
        <v>2706</v>
      </c>
      <c r="AM72" s="33" t="s">
        <v>2792</v>
      </c>
      <c r="AN72" s="33" t="s">
        <v>2672</v>
      </c>
      <c r="AO72" s="33" t="s">
        <v>2</v>
      </c>
      <c r="AP72" s="5"/>
    </row>
    <row r="73" spans="2:42" ht="14.25" customHeight="1">
      <c r="X73" s="33" t="s">
        <v>2852</v>
      </c>
      <c r="Y73" s="112" t="s">
        <v>2288</v>
      </c>
      <c r="Z73" s="112" t="s">
        <v>2283</v>
      </c>
      <c r="AA73" s="112" t="s">
        <v>2278</v>
      </c>
      <c r="AB73" s="112" t="s">
        <v>2298</v>
      </c>
      <c r="AC73" s="112" t="s">
        <v>2303</v>
      </c>
      <c r="AD73" s="112" t="s">
        <v>2293</v>
      </c>
      <c r="AE73" s="112" t="s">
        <v>2273</v>
      </c>
      <c r="AF73" s="112" t="s">
        <v>2272</v>
      </c>
      <c r="AH73" s="33" t="s">
        <v>2852</v>
      </c>
      <c r="AI73" s="37">
        <f>Z77</f>
        <v>120</v>
      </c>
      <c r="AJ73" s="37">
        <f>AA77</f>
        <v>125</v>
      </c>
      <c r="AK73" s="37">
        <f>AB77</f>
        <v>2900</v>
      </c>
      <c r="AL73" s="37">
        <f>SUM(Y77, AC77:AD77)</f>
        <v>220</v>
      </c>
      <c r="AM73" s="37">
        <f>SUM(Y77:AD77)</f>
        <v>3365</v>
      </c>
      <c r="AN73" s="37">
        <f>AE77</f>
        <v>6725</v>
      </c>
      <c r="AO73" s="37">
        <f>AF77</f>
        <v>10100</v>
      </c>
      <c r="AP73" s="5"/>
    </row>
    <row r="74" spans="2:42" ht="19.5" customHeight="1">
      <c r="X74" s="33"/>
      <c r="Y74" s="33"/>
      <c r="Z74" s="33"/>
      <c r="AA74" s="33"/>
      <c r="AB74" s="33"/>
      <c r="AC74" s="33"/>
      <c r="AD74" s="33"/>
      <c r="AE74" s="33"/>
      <c r="AF74" s="33"/>
      <c r="AH74" s="33"/>
      <c r="AI74" s="5"/>
      <c r="AJ74" s="5"/>
      <c r="AK74" s="5"/>
      <c r="AL74" s="5"/>
      <c r="AM74" s="5"/>
      <c r="AN74" s="5"/>
      <c r="AO74" s="5"/>
      <c r="AP74" s="5"/>
    </row>
    <row r="75" spans="2:42" ht="19.5" customHeight="1">
      <c r="X75" s="33"/>
      <c r="Y75" s="33"/>
      <c r="Z75" s="33"/>
      <c r="AA75" s="33"/>
      <c r="AB75" s="33"/>
      <c r="AC75" s="33"/>
      <c r="AD75" s="33"/>
      <c r="AE75" s="33"/>
      <c r="AF75" s="33"/>
      <c r="AH75" s="33"/>
      <c r="AI75" s="5"/>
      <c r="AJ75" s="5"/>
      <c r="AK75" s="5"/>
      <c r="AL75" s="5"/>
      <c r="AM75" s="5"/>
      <c r="AN75" s="5"/>
      <c r="AO75" s="5"/>
      <c r="AP75" s="5"/>
    </row>
    <row r="76" spans="2:42">
      <c r="X76" s="5"/>
      <c r="Y76" t="s">
        <v>2720</v>
      </c>
      <c r="Z76" t="s">
        <v>2666</v>
      </c>
      <c r="AA76" t="s">
        <v>2673</v>
      </c>
      <c r="AB76" t="s">
        <v>2790</v>
      </c>
      <c r="AC76" t="s">
        <v>2706</v>
      </c>
      <c r="AD76" t="s">
        <v>2721</v>
      </c>
      <c r="AE76" t="s">
        <v>2672</v>
      </c>
      <c r="AG76" s="5"/>
      <c r="AH76" s="33"/>
      <c r="AI76" s="5"/>
      <c r="AJ76" s="5"/>
      <c r="AK76" s="5"/>
      <c r="AL76" s="5"/>
      <c r="AM76" s="5"/>
      <c r="AN76" s="5"/>
      <c r="AO76" s="5"/>
      <c r="AP76" s="5"/>
    </row>
    <row r="77" spans="2:42" ht="15">
      <c r="X77" s="33" t="s">
        <v>2852</v>
      </c>
      <c r="Y77" s="2">
        <v>35</v>
      </c>
      <c r="Z77" s="2">
        <v>120</v>
      </c>
      <c r="AA77" s="2">
        <v>125</v>
      </c>
      <c r="AB77" s="2">
        <v>2900</v>
      </c>
      <c r="AC77" s="2">
        <v>185</v>
      </c>
      <c r="AD77" s="2">
        <v>0</v>
      </c>
      <c r="AE77" s="2">
        <v>6725</v>
      </c>
      <c r="AF77" s="2">
        <v>10100</v>
      </c>
      <c r="AG77" s="5"/>
      <c r="AH77" s="33"/>
      <c r="AI77" s="5"/>
      <c r="AJ77" s="5"/>
      <c r="AK77" s="5"/>
      <c r="AL77" s="5"/>
      <c r="AM77" s="5"/>
      <c r="AN77" s="5"/>
      <c r="AO77" s="5"/>
      <c r="AP77" s="5"/>
    </row>
    <row r="81" spans="2:12" ht="14.25" customHeight="1"/>
    <row r="90" spans="2:12" ht="20.25" customHeight="1">
      <c r="B90" s="278" t="s">
        <v>2780</v>
      </c>
    </row>
    <row r="92" spans="2:12">
      <c r="C92" s="279"/>
      <c r="D92" s="279"/>
      <c r="E92" s="279"/>
      <c r="F92" s="279"/>
      <c r="G92" s="279"/>
      <c r="H92" s="279"/>
      <c r="I92" s="279"/>
      <c r="J92" s="279"/>
      <c r="K92" s="279"/>
      <c r="L92" s="279"/>
    </row>
    <row r="93" spans="2:12">
      <c r="B93" s="279"/>
      <c r="C93" s="279"/>
      <c r="D93" s="279"/>
      <c r="E93" s="279"/>
      <c r="F93" s="279"/>
      <c r="G93" s="279"/>
      <c r="H93" s="279"/>
      <c r="I93" s="279"/>
      <c r="J93" s="279"/>
      <c r="K93" s="279"/>
      <c r="L93" s="279"/>
    </row>
    <row r="95" spans="2:12" ht="18" customHeight="1">
      <c r="B95" s="303" t="str">
        <f>"Chart 17a. "&amp;City_label&amp;" percent owner and renter households by race and ethnicity, 2019 "</f>
        <v xml:space="preserve">Chart 17a. Entiat percent owner and renter households by race and ethnicity, 2019 </v>
      </c>
      <c r="C95" s="303"/>
      <c r="D95" s="303"/>
      <c r="E95" s="303"/>
      <c r="F95" s="303"/>
      <c r="G95" s="303"/>
      <c r="H95" s="303"/>
      <c r="I95" s="303"/>
      <c r="J95" s="303"/>
      <c r="K95" s="303"/>
    </row>
    <row r="96" spans="2:12" ht="18" customHeight="1">
      <c r="B96" s="303"/>
      <c r="C96" s="303"/>
      <c r="D96" s="303"/>
      <c r="E96" s="303"/>
      <c r="F96" s="303"/>
      <c r="G96" s="303"/>
      <c r="H96" s="303"/>
      <c r="I96" s="303"/>
      <c r="J96" s="303"/>
      <c r="K96" s="303"/>
    </row>
    <row r="97" spans="2:12" ht="21.75" customHeight="1"/>
    <row r="98" spans="2:12" ht="21.75" customHeight="1"/>
    <row r="100" spans="2:12" ht="19.5" customHeight="1"/>
    <row r="101" spans="2:12" ht="19.5" customHeight="1"/>
    <row r="111" spans="2:12">
      <c r="B111" s="278" t="s">
        <v>2780</v>
      </c>
      <c r="C111" s="278"/>
      <c r="D111" s="278"/>
      <c r="E111" s="278"/>
      <c r="F111" s="278"/>
      <c r="G111" s="278"/>
      <c r="H111" s="278"/>
      <c r="I111" s="278"/>
      <c r="J111" s="278"/>
      <c r="K111" s="278"/>
      <c r="L111" s="279"/>
    </row>
    <row r="112" spans="2:12">
      <c r="B112" s="278"/>
      <c r="C112" s="278"/>
      <c r="D112" s="278"/>
      <c r="E112" s="278"/>
      <c r="F112" s="278"/>
      <c r="G112" s="278"/>
      <c r="H112" s="278"/>
      <c r="I112" s="278"/>
      <c r="J112" s="278"/>
      <c r="K112" s="278"/>
      <c r="L112" s="279"/>
    </row>
    <row r="116" ht="14.25" customHeight="1"/>
  </sheetData>
  <mergeCells count="46">
    <mergeCell ref="AF48:AF50"/>
    <mergeCell ref="AI48:AI50"/>
    <mergeCell ref="AJ48:AJ50"/>
    <mergeCell ref="Y48:Y50"/>
    <mergeCell ref="Z48:Z50"/>
    <mergeCell ref="AA48:AA50"/>
    <mergeCell ref="AB48:AB50"/>
    <mergeCell ref="AC48:AC50"/>
    <mergeCell ref="AD48:AD50"/>
    <mergeCell ref="AE48:AE50"/>
    <mergeCell ref="AK48:AK50"/>
    <mergeCell ref="AL48:AL50"/>
    <mergeCell ref="AM48:AM50"/>
    <mergeCell ref="AT7:AV8"/>
    <mergeCell ref="AW7:AY8"/>
    <mergeCell ref="AK11:AK13"/>
    <mergeCell ref="AL11:AL13"/>
    <mergeCell ref="AN48:AN50"/>
    <mergeCell ref="AO48:AO50"/>
    <mergeCell ref="AM11:AM13"/>
    <mergeCell ref="AN11:AN13"/>
    <mergeCell ref="AO11:AO13"/>
    <mergeCell ref="AJ11:AJ13"/>
    <mergeCell ref="AI11:AI13"/>
    <mergeCell ref="B19:K20"/>
    <mergeCell ref="AB11:AB13"/>
    <mergeCell ref="AC11:AC13"/>
    <mergeCell ref="AD11:AD13"/>
    <mergeCell ref="AE11:AE13"/>
    <mergeCell ref="AF11:AF13"/>
    <mergeCell ref="Y11:Y13"/>
    <mergeCell ref="Z11:Z13"/>
    <mergeCell ref="AA11:AA13"/>
    <mergeCell ref="B22:K23"/>
    <mergeCell ref="B47:K48"/>
    <mergeCell ref="B69:K70"/>
    <mergeCell ref="B95:K96"/>
    <mergeCell ref="Y5:Z5"/>
    <mergeCell ref="Y6:Z6"/>
    <mergeCell ref="F9:F10"/>
    <mergeCell ref="E9:E10"/>
    <mergeCell ref="H9:H10"/>
    <mergeCell ref="K9:K10"/>
    <mergeCell ref="J9:J10"/>
    <mergeCell ref="B5:K6"/>
    <mergeCell ref="I9:I10"/>
  </mergeCells>
  <phoneticPr fontId="6" type="noConversion"/>
  <pageMargins left="0.7" right="0.7" top="0.75" bottom="0.75" header="0.3" footer="0.3"/>
  <pageSetup scale="97" fitToHeight="0" orientation="portrait" r:id="rId1"/>
  <rowBreaks count="1" manualBreakCount="1">
    <brk id="46" min="1" max="10"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3" tint="-0.499984740745262"/>
  </sheetPr>
  <dimension ref="A1:B680"/>
  <sheetViews>
    <sheetView workbookViewId="0">
      <selection activeCell="G44" sqref="G44"/>
    </sheetView>
  </sheetViews>
  <sheetFormatPr defaultColWidth="9" defaultRowHeight="14.25"/>
  <cols>
    <col min="1" max="1" width="38.625" customWidth="1"/>
    <col min="2" max="2" width="17.25" customWidth="1"/>
  </cols>
  <sheetData>
    <row r="1" spans="1:2" ht="15">
      <c r="A1" s="111" t="s">
        <v>1985</v>
      </c>
      <c r="B1" s="111" t="s">
        <v>1984</v>
      </c>
    </row>
    <row r="2" spans="1:2">
      <c r="A2" t="s">
        <v>1253</v>
      </c>
      <c r="B2" t="s">
        <v>2426</v>
      </c>
    </row>
    <row r="3" spans="1:2">
      <c r="A3" t="s">
        <v>1899</v>
      </c>
      <c r="B3" t="s">
        <v>1898</v>
      </c>
    </row>
    <row r="4" spans="1:2">
      <c r="A4" t="s">
        <v>1901</v>
      </c>
      <c r="B4" t="s">
        <v>1900</v>
      </c>
    </row>
    <row r="5" spans="1:2">
      <c r="A5" t="s">
        <v>1903</v>
      </c>
      <c r="B5" t="s">
        <v>1902</v>
      </c>
    </row>
    <row r="6" spans="1:2">
      <c r="A6" t="s">
        <v>1905</v>
      </c>
      <c r="B6" t="s">
        <v>1904</v>
      </c>
    </row>
    <row r="7" spans="1:2">
      <c r="A7" t="s">
        <v>1907</v>
      </c>
      <c r="B7" t="s">
        <v>1906</v>
      </c>
    </row>
    <row r="8" spans="1:2">
      <c r="A8" t="s">
        <v>1909</v>
      </c>
      <c r="B8" t="s">
        <v>1908</v>
      </c>
    </row>
    <row r="9" spans="1:2">
      <c r="A9" t="s">
        <v>1911</v>
      </c>
      <c r="B9" t="s">
        <v>1910</v>
      </c>
    </row>
    <row r="10" spans="1:2">
      <c r="A10" t="s">
        <v>1913</v>
      </c>
      <c r="B10" t="s">
        <v>1912</v>
      </c>
    </row>
    <row r="11" spans="1:2">
      <c r="A11" t="s">
        <v>1915</v>
      </c>
      <c r="B11" t="s">
        <v>1914</v>
      </c>
    </row>
    <row r="12" spans="1:2">
      <c r="A12" t="s">
        <v>1917</v>
      </c>
      <c r="B12" t="s">
        <v>1916</v>
      </c>
    </row>
    <row r="13" spans="1:2">
      <c r="A13" t="s">
        <v>1919</v>
      </c>
      <c r="B13" t="s">
        <v>1918</v>
      </c>
    </row>
    <row r="14" spans="1:2">
      <c r="A14" t="s">
        <v>1921</v>
      </c>
      <c r="B14" t="s">
        <v>1920</v>
      </c>
    </row>
    <row r="15" spans="1:2">
      <c r="A15" t="s">
        <v>1923</v>
      </c>
      <c r="B15" t="s">
        <v>1922</v>
      </c>
    </row>
    <row r="16" spans="1:2">
      <c r="A16" t="s">
        <v>1925</v>
      </c>
      <c r="B16" t="s">
        <v>1924</v>
      </c>
    </row>
    <row r="17" spans="1:2">
      <c r="A17" t="s">
        <v>1927</v>
      </c>
      <c r="B17" t="s">
        <v>1926</v>
      </c>
    </row>
    <row r="18" spans="1:2">
      <c r="A18" t="s">
        <v>1929</v>
      </c>
      <c r="B18" t="s">
        <v>1928</v>
      </c>
    </row>
    <row r="19" spans="1:2">
      <c r="A19" t="s">
        <v>1931</v>
      </c>
      <c r="B19" t="s">
        <v>1930</v>
      </c>
    </row>
    <row r="20" spans="1:2">
      <c r="A20" t="s">
        <v>1933</v>
      </c>
      <c r="B20" t="s">
        <v>1932</v>
      </c>
    </row>
    <row r="21" spans="1:2">
      <c r="A21" t="s">
        <v>1935</v>
      </c>
      <c r="B21" t="s">
        <v>1934</v>
      </c>
    </row>
    <row r="22" spans="1:2">
      <c r="A22" t="s">
        <v>1937</v>
      </c>
      <c r="B22" t="s">
        <v>1936</v>
      </c>
    </row>
    <row r="23" spans="1:2">
      <c r="A23" t="s">
        <v>1939</v>
      </c>
      <c r="B23" t="s">
        <v>1938</v>
      </c>
    </row>
    <row r="24" spans="1:2">
      <c r="A24" t="s">
        <v>1941</v>
      </c>
      <c r="B24" t="s">
        <v>1940</v>
      </c>
    </row>
    <row r="25" spans="1:2">
      <c r="A25" t="s">
        <v>1943</v>
      </c>
      <c r="B25" t="s">
        <v>1942</v>
      </c>
    </row>
    <row r="26" spans="1:2">
      <c r="A26" t="s">
        <v>1945</v>
      </c>
      <c r="B26" t="s">
        <v>1944</v>
      </c>
    </row>
    <row r="27" spans="1:2">
      <c r="A27" t="s">
        <v>1947</v>
      </c>
      <c r="B27" t="s">
        <v>1946</v>
      </c>
    </row>
    <row r="28" spans="1:2">
      <c r="A28" t="s">
        <v>1949</v>
      </c>
      <c r="B28" t="s">
        <v>1948</v>
      </c>
    </row>
    <row r="29" spans="1:2">
      <c r="A29" t="s">
        <v>1951</v>
      </c>
      <c r="B29" t="s">
        <v>1950</v>
      </c>
    </row>
    <row r="30" spans="1:2">
      <c r="A30" t="s">
        <v>1953</v>
      </c>
      <c r="B30" t="s">
        <v>1952</v>
      </c>
    </row>
    <row r="31" spans="1:2">
      <c r="A31" t="s">
        <v>1955</v>
      </c>
      <c r="B31" t="s">
        <v>1954</v>
      </c>
    </row>
    <row r="32" spans="1:2">
      <c r="A32" t="s">
        <v>1957</v>
      </c>
      <c r="B32" t="s">
        <v>1956</v>
      </c>
    </row>
    <row r="33" spans="1:2">
      <c r="A33" t="s">
        <v>1959</v>
      </c>
      <c r="B33" t="s">
        <v>1958</v>
      </c>
    </row>
    <row r="34" spans="1:2">
      <c r="A34" t="s">
        <v>1961</v>
      </c>
      <c r="B34" t="s">
        <v>1960</v>
      </c>
    </row>
    <row r="35" spans="1:2">
      <c r="A35" t="s">
        <v>1963</v>
      </c>
      <c r="B35" t="s">
        <v>1962</v>
      </c>
    </row>
    <row r="36" spans="1:2">
      <c r="A36" t="s">
        <v>1965</v>
      </c>
      <c r="B36" t="s">
        <v>1964</v>
      </c>
    </row>
    <row r="37" spans="1:2">
      <c r="A37" t="s">
        <v>1967</v>
      </c>
      <c r="B37" t="s">
        <v>1966</v>
      </c>
    </row>
    <row r="38" spans="1:2">
      <c r="A38" t="s">
        <v>1969</v>
      </c>
      <c r="B38" t="s">
        <v>1968</v>
      </c>
    </row>
    <row r="39" spans="1:2">
      <c r="A39" t="s">
        <v>1971</v>
      </c>
      <c r="B39" t="s">
        <v>1970</v>
      </c>
    </row>
    <row r="40" spans="1:2">
      <c r="A40" t="s">
        <v>1973</v>
      </c>
      <c r="B40" t="s">
        <v>1972</v>
      </c>
    </row>
    <row r="41" spans="1:2">
      <c r="A41" t="s">
        <v>1975</v>
      </c>
      <c r="B41" t="s">
        <v>1974</v>
      </c>
    </row>
    <row r="42" spans="1:2">
      <c r="A42" t="s">
        <v>15</v>
      </c>
      <c r="B42" t="s">
        <v>1274</v>
      </c>
    </row>
    <row r="43" spans="1:2">
      <c r="A43" t="s">
        <v>17</v>
      </c>
      <c r="B43" t="s">
        <v>1275</v>
      </c>
    </row>
    <row r="44" spans="1:2">
      <c r="A44" t="s">
        <v>19</v>
      </c>
      <c r="B44" t="s">
        <v>1276</v>
      </c>
    </row>
    <row r="45" spans="1:2">
      <c r="A45" t="s">
        <v>21</v>
      </c>
      <c r="B45" t="s">
        <v>1277</v>
      </c>
    </row>
    <row r="46" spans="1:2">
      <c r="A46" t="s">
        <v>23</v>
      </c>
      <c r="B46" t="s">
        <v>1278</v>
      </c>
    </row>
    <row r="47" spans="1:2">
      <c r="A47" t="s">
        <v>25</v>
      </c>
      <c r="B47" t="s">
        <v>1279</v>
      </c>
    </row>
    <row r="48" spans="1:2">
      <c r="A48" t="s">
        <v>27</v>
      </c>
      <c r="B48" t="s">
        <v>1280</v>
      </c>
    </row>
    <row r="49" spans="1:2">
      <c r="A49" t="s">
        <v>29</v>
      </c>
      <c r="B49" t="s">
        <v>1281</v>
      </c>
    </row>
    <row r="50" spans="1:2">
      <c r="A50" t="s">
        <v>31</v>
      </c>
      <c r="B50" t="s">
        <v>1282</v>
      </c>
    </row>
    <row r="51" spans="1:2">
      <c r="A51" t="s">
        <v>33</v>
      </c>
      <c r="B51" t="s">
        <v>1283</v>
      </c>
    </row>
    <row r="52" spans="1:2">
      <c r="A52" t="s">
        <v>35</v>
      </c>
      <c r="B52" t="s">
        <v>1284</v>
      </c>
    </row>
    <row r="53" spans="1:2">
      <c r="A53" t="s">
        <v>37</v>
      </c>
      <c r="B53" t="s">
        <v>1285</v>
      </c>
    </row>
    <row r="54" spans="1:2">
      <c r="A54" t="s">
        <v>39</v>
      </c>
      <c r="B54" t="s">
        <v>1286</v>
      </c>
    </row>
    <row r="55" spans="1:2">
      <c r="A55" t="s">
        <v>41</v>
      </c>
      <c r="B55" t="s">
        <v>1287</v>
      </c>
    </row>
    <row r="56" spans="1:2">
      <c r="A56" t="s">
        <v>43</v>
      </c>
      <c r="B56" t="s">
        <v>1288</v>
      </c>
    </row>
    <row r="57" spans="1:2">
      <c r="A57" t="s">
        <v>45</v>
      </c>
      <c r="B57" t="s">
        <v>1289</v>
      </c>
    </row>
    <row r="58" spans="1:2">
      <c r="A58" t="s">
        <v>47</v>
      </c>
      <c r="B58" t="s">
        <v>1290</v>
      </c>
    </row>
    <row r="59" spans="1:2">
      <c r="A59" t="s">
        <v>49</v>
      </c>
      <c r="B59" t="s">
        <v>1291</v>
      </c>
    </row>
    <row r="60" spans="1:2">
      <c r="A60" t="s">
        <v>51</v>
      </c>
      <c r="B60" t="s">
        <v>1292</v>
      </c>
    </row>
    <row r="61" spans="1:2">
      <c r="A61" t="s">
        <v>2429</v>
      </c>
      <c r="B61" t="s">
        <v>2428</v>
      </c>
    </row>
    <row r="62" spans="1:2">
      <c r="A62" t="s">
        <v>53</v>
      </c>
      <c r="B62" t="s">
        <v>1293</v>
      </c>
    </row>
    <row r="63" spans="1:2">
      <c r="A63" t="s">
        <v>55</v>
      </c>
      <c r="B63" t="s">
        <v>1294</v>
      </c>
    </row>
    <row r="64" spans="1:2">
      <c r="A64" t="s">
        <v>57</v>
      </c>
      <c r="B64" t="s">
        <v>1295</v>
      </c>
    </row>
    <row r="65" spans="1:2">
      <c r="A65" t="s">
        <v>59</v>
      </c>
      <c r="B65" t="s">
        <v>1296</v>
      </c>
    </row>
    <row r="66" spans="1:2">
      <c r="A66" t="s">
        <v>61</v>
      </c>
      <c r="B66" t="s">
        <v>1297</v>
      </c>
    </row>
    <row r="67" spans="1:2">
      <c r="A67" t="s">
        <v>63</v>
      </c>
      <c r="B67" t="s">
        <v>1298</v>
      </c>
    </row>
    <row r="68" spans="1:2">
      <c r="A68" t="s">
        <v>65</v>
      </c>
      <c r="B68" t="s">
        <v>1299</v>
      </c>
    </row>
    <row r="69" spans="1:2">
      <c r="A69" t="s">
        <v>67</v>
      </c>
      <c r="B69" t="s">
        <v>1300</v>
      </c>
    </row>
    <row r="70" spans="1:2">
      <c r="A70" t="s">
        <v>69</v>
      </c>
      <c r="B70" t="s">
        <v>1301</v>
      </c>
    </row>
    <row r="71" spans="1:2">
      <c r="A71" t="s">
        <v>71</v>
      </c>
      <c r="B71" t="s">
        <v>1302</v>
      </c>
    </row>
    <row r="72" spans="1:2">
      <c r="A72" t="s">
        <v>73</v>
      </c>
      <c r="B72" t="s">
        <v>1303</v>
      </c>
    </row>
    <row r="73" spans="1:2">
      <c r="A73" t="s">
        <v>75</v>
      </c>
      <c r="B73" t="s">
        <v>1304</v>
      </c>
    </row>
    <row r="74" spans="1:2">
      <c r="A74" t="s">
        <v>77</v>
      </c>
      <c r="B74" t="s">
        <v>1305</v>
      </c>
    </row>
    <row r="75" spans="1:2">
      <c r="A75" t="s">
        <v>79</v>
      </c>
      <c r="B75" t="s">
        <v>1306</v>
      </c>
    </row>
    <row r="76" spans="1:2">
      <c r="A76" t="s">
        <v>81</v>
      </c>
      <c r="B76" t="s">
        <v>1307</v>
      </c>
    </row>
    <row r="77" spans="1:2">
      <c r="A77" t="s">
        <v>83</v>
      </c>
      <c r="B77" t="s">
        <v>1308</v>
      </c>
    </row>
    <row r="78" spans="1:2">
      <c r="A78" t="s">
        <v>85</v>
      </c>
      <c r="B78" t="s">
        <v>1309</v>
      </c>
    </row>
    <row r="79" spans="1:2">
      <c r="A79" t="s">
        <v>87</v>
      </c>
      <c r="B79" t="s">
        <v>1310</v>
      </c>
    </row>
    <row r="80" spans="1:2">
      <c r="A80" t="s">
        <v>2431</v>
      </c>
      <c r="B80" t="s">
        <v>2430</v>
      </c>
    </row>
    <row r="81" spans="1:2">
      <c r="A81" t="s">
        <v>89</v>
      </c>
      <c r="B81" t="s">
        <v>1311</v>
      </c>
    </row>
    <row r="82" spans="1:2">
      <c r="A82" t="s">
        <v>91</v>
      </c>
      <c r="B82" t="s">
        <v>1312</v>
      </c>
    </row>
    <row r="83" spans="1:2">
      <c r="A83" t="s">
        <v>93</v>
      </c>
      <c r="B83" t="s">
        <v>1313</v>
      </c>
    </row>
    <row r="84" spans="1:2">
      <c r="A84" t="s">
        <v>95</v>
      </c>
      <c r="B84" t="s">
        <v>1314</v>
      </c>
    </row>
    <row r="85" spans="1:2">
      <c r="A85" t="s">
        <v>97</v>
      </c>
      <c r="B85" t="s">
        <v>1315</v>
      </c>
    </row>
    <row r="86" spans="1:2">
      <c r="A86" t="s">
        <v>99</v>
      </c>
      <c r="B86" t="s">
        <v>1316</v>
      </c>
    </row>
    <row r="87" spans="1:2">
      <c r="A87" t="s">
        <v>101</v>
      </c>
      <c r="B87" t="s">
        <v>1317</v>
      </c>
    </row>
    <row r="88" spans="1:2">
      <c r="A88" t="s">
        <v>2433</v>
      </c>
      <c r="B88" t="s">
        <v>2432</v>
      </c>
    </row>
    <row r="89" spans="1:2">
      <c r="A89" t="s">
        <v>103</v>
      </c>
      <c r="B89" t="s">
        <v>1318</v>
      </c>
    </row>
    <row r="90" spans="1:2">
      <c r="A90" t="s">
        <v>105</v>
      </c>
      <c r="B90" t="s">
        <v>1319</v>
      </c>
    </row>
    <row r="91" spans="1:2">
      <c r="A91" t="s">
        <v>107</v>
      </c>
      <c r="B91" t="s">
        <v>1320</v>
      </c>
    </row>
    <row r="92" spans="1:2">
      <c r="A92" t="s">
        <v>109</v>
      </c>
      <c r="B92" t="s">
        <v>1321</v>
      </c>
    </row>
    <row r="93" spans="1:2">
      <c r="A93" t="s">
        <v>111</v>
      </c>
      <c r="B93" t="s">
        <v>1322</v>
      </c>
    </row>
    <row r="94" spans="1:2">
      <c r="A94" t="s">
        <v>113</v>
      </c>
      <c r="B94" t="s">
        <v>1323</v>
      </c>
    </row>
    <row r="95" spans="1:2">
      <c r="A95" t="s">
        <v>115</v>
      </c>
      <c r="B95" t="s">
        <v>1324</v>
      </c>
    </row>
    <row r="96" spans="1:2">
      <c r="A96" t="s">
        <v>117</v>
      </c>
      <c r="B96" t="s">
        <v>1325</v>
      </c>
    </row>
    <row r="97" spans="1:2">
      <c r="A97" t="s">
        <v>119</v>
      </c>
      <c r="B97" t="s">
        <v>1326</v>
      </c>
    </row>
    <row r="98" spans="1:2">
      <c r="A98" t="s">
        <v>121</v>
      </c>
      <c r="B98" t="s">
        <v>1327</v>
      </c>
    </row>
    <row r="99" spans="1:2">
      <c r="A99" t="s">
        <v>123</v>
      </c>
      <c r="B99" t="s">
        <v>1328</v>
      </c>
    </row>
    <row r="100" spans="1:2">
      <c r="A100" t="s">
        <v>125</v>
      </c>
      <c r="B100" t="s">
        <v>1329</v>
      </c>
    </row>
    <row r="101" spans="1:2">
      <c r="A101" t="s">
        <v>2435</v>
      </c>
      <c r="B101" t="s">
        <v>2434</v>
      </c>
    </row>
    <row r="102" spans="1:2">
      <c r="A102" t="s">
        <v>127</v>
      </c>
      <c r="B102" t="s">
        <v>1330</v>
      </c>
    </row>
    <row r="103" spans="1:2">
      <c r="A103" t="s">
        <v>129</v>
      </c>
      <c r="B103" t="s">
        <v>1331</v>
      </c>
    </row>
    <row r="104" spans="1:2">
      <c r="A104" t="s">
        <v>131</v>
      </c>
      <c r="B104" t="s">
        <v>1332</v>
      </c>
    </row>
    <row r="105" spans="1:2">
      <c r="A105" t="s">
        <v>133</v>
      </c>
      <c r="B105" t="s">
        <v>1333</v>
      </c>
    </row>
    <row r="106" spans="1:2">
      <c r="A106" t="s">
        <v>135</v>
      </c>
      <c r="B106" t="s">
        <v>1334</v>
      </c>
    </row>
    <row r="107" spans="1:2">
      <c r="A107" t="s">
        <v>137</v>
      </c>
      <c r="B107" t="s">
        <v>1335</v>
      </c>
    </row>
    <row r="108" spans="1:2">
      <c r="A108" t="s">
        <v>139</v>
      </c>
      <c r="B108" t="s">
        <v>1336</v>
      </c>
    </row>
    <row r="109" spans="1:2">
      <c r="A109" t="s">
        <v>141</v>
      </c>
      <c r="B109" t="s">
        <v>1337</v>
      </c>
    </row>
    <row r="110" spans="1:2">
      <c r="A110" t="s">
        <v>143</v>
      </c>
      <c r="B110" t="s">
        <v>1338</v>
      </c>
    </row>
    <row r="111" spans="1:2">
      <c r="A111" t="s">
        <v>145</v>
      </c>
      <c r="B111" t="s">
        <v>1339</v>
      </c>
    </row>
    <row r="112" spans="1:2">
      <c r="A112" t="s">
        <v>147</v>
      </c>
      <c r="B112" t="s">
        <v>1340</v>
      </c>
    </row>
    <row r="113" spans="1:2">
      <c r="A113" t="s">
        <v>149</v>
      </c>
      <c r="B113" t="s">
        <v>1341</v>
      </c>
    </row>
    <row r="114" spans="1:2">
      <c r="A114" t="s">
        <v>151</v>
      </c>
      <c r="B114" t="s">
        <v>1342</v>
      </c>
    </row>
    <row r="115" spans="1:2">
      <c r="A115" t="s">
        <v>153</v>
      </c>
      <c r="B115" t="s">
        <v>1343</v>
      </c>
    </row>
    <row r="116" spans="1:2">
      <c r="A116" t="s">
        <v>155</v>
      </c>
      <c r="B116" t="s">
        <v>1344</v>
      </c>
    </row>
    <row r="117" spans="1:2">
      <c r="A117" t="s">
        <v>157</v>
      </c>
      <c r="B117" t="s">
        <v>1345</v>
      </c>
    </row>
    <row r="118" spans="1:2">
      <c r="A118" t="s">
        <v>159</v>
      </c>
      <c r="B118" t="s">
        <v>1346</v>
      </c>
    </row>
    <row r="119" spans="1:2">
      <c r="A119" t="s">
        <v>161</v>
      </c>
      <c r="B119" t="s">
        <v>1347</v>
      </c>
    </row>
    <row r="120" spans="1:2">
      <c r="A120" t="s">
        <v>163</v>
      </c>
      <c r="B120" t="s">
        <v>1348</v>
      </c>
    </row>
    <row r="121" spans="1:2">
      <c r="A121" t="s">
        <v>165</v>
      </c>
      <c r="B121" t="s">
        <v>1349</v>
      </c>
    </row>
    <row r="122" spans="1:2">
      <c r="A122" t="s">
        <v>167</v>
      </c>
      <c r="B122" t="s">
        <v>1350</v>
      </c>
    </row>
    <row r="123" spans="1:2">
      <c r="A123" t="s">
        <v>169</v>
      </c>
      <c r="B123" t="s">
        <v>1351</v>
      </c>
    </row>
    <row r="124" spans="1:2">
      <c r="A124" t="s">
        <v>171</v>
      </c>
      <c r="B124" t="s">
        <v>1352</v>
      </c>
    </row>
    <row r="125" spans="1:2">
      <c r="A125" t="s">
        <v>173</v>
      </c>
      <c r="B125" t="s">
        <v>1353</v>
      </c>
    </row>
    <row r="126" spans="1:2">
      <c r="A126" t="s">
        <v>175</v>
      </c>
      <c r="B126" t="s">
        <v>1354</v>
      </c>
    </row>
    <row r="127" spans="1:2">
      <c r="A127" t="s">
        <v>177</v>
      </c>
      <c r="B127" t="s">
        <v>1355</v>
      </c>
    </row>
    <row r="128" spans="1:2">
      <c r="A128" t="s">
        <v>179</v>
      </c>
      <c r="B128" t="s">
        <v>1356</v>
      </c>
    </row>
    <row r="129" spans="1:2">
      <c r="A129" t="s">
        <v>181</v>
      </c>
      <c r="B129" t="s">
        <v>1357</v>
      </c>
    </row>
    <row r="130" spans="1:2">
      <c r="A130" t="s">
        <v>183</v>
      </c>
      <c r="B130" t="s">
        <v>1358</v>
      </c>
    </row>
    <row r="131" spans="1:2">
      <c r="A131" t="s">
        <v>185</v>
      </c>
      <c r="B131" t="s">
        <v>1359</v>
      </c>
    </row>
    <row r="132" spans="1:2">
      <c r="A132" t="s">
        <v>187</v>
      </c>
      <c r="B132" t="s">
        <v>1360</v>
      </c>
    </row>
    <row r="133" spans="1:2">
      <c r="A133" t="s">
        <v>189</v>
      </c>
      <c r="B133" t="s">
        <v>1361</v>
      </c>
    </row>
    <row r="134" spans="1:2">
      <c r="A134" t="s">
        <v>191</v>
      </c>
      <c r="B134" t="s">
        <v>1362</v>
      </c>
    </row>
    <row r="135" spans="1:2">
      <c r="A135" t="s">
        <v>193</v>
      </c>
      <c r="B135" t="s">
        <v>1363</v>
      </c>
    </row>
    <row r="136" spans="1:2">
      <c r="A136" t="s">
        <v>195</v>
      </c>
      <c r="B136" t="s">
        <v>1364</v>
      </c>
    </row>
    <row r="137" spans="1:2">
      <c r="A137" t="s">
        <v>197</v>
      </c>
      <c r="B137" t="s">
        <v>1365</v>
      </c>
    </row>
    <row r="138" spans="1:2">
      <c r="A138" t="s">
        <v>199</v>
      </c>
      <c r="B138" t="s">
        <v>1366</v>
      </c>
    </row>
    <row r="139" spans="1:2">
      <c r="A139" t="s">
        <v>201</v>
      </c>
      <c r="B139" t="s">
        <v>1367</v>
      </c>
    </row>
    <row r="140" spans="1:2">
      <c r="A140" t="s">
        <v>203</v>
      </c>
      <c r="B140" t="s">
        <v>1368</v>
      </c>
    </row>
    <row r="141" spans="1:2">
      <c r="A141" t="s">
        <v>205</v>
      </c>
      <c r="B141" t="s">
        <v>1369</v>
      </c>
    </row>
    <row r="142" spans="1:2">
      <c r="A142" t="s">
        <v>207</v>
      </c>
      <c r="B142" t="s">
        <v>1370</v>
      </c>
    </row>
    <row r="143" spans="1:2">
      <c r="A143" t="s">
        <v>209</v>
      </c>
      <c r="B143" t="s">
        <v>1371</v>
      </c>
    </row>
    <row r="144" spans="1:2">
      <c r="A144" t="s">
        <v>211</v>
      </c>
      <c r="B144" t="s">
        <v>1372</v>
      </c>
    </row>
    <row r="145" spans="1:2">
      <c r="A145" t="s">
        <v>213</v>
      </c>
      <c r="B145" t="s">
        <v>1373</v>
      </c>
    </row>
    <row r="146" spans="1:2">
      <c r="A146" t="s">
        <v>215</v>
      </c>
      <c r="B146" t="s">
        <v>1374</v>
      </c>
    </row>
    <row r="147" spans="1:2">
      <c r="A147" t="s">
        <v>217</v>
      </c>
      <c r="B147" t="s">
        <v>1375</v>
      </c>
    </row>
    <row r="148" spans="1:2">
      <c r="A148" t="s">
        <v>219</v>
      </c>
      <c r="B148" t="s">
        <v>1376</v>
      </c>
    </row>
    <row r="149" spans="1:2">
      <c r="A149" t="s">
        <v>221</v>
      </c>
      <c r="B149" t="s">
        <v>1377</v>
      </c>
    </row>
    <row r="150" spans="1:2">
      <c r="A150" t="s">
        <v>223</v>
      </c>
      <c r="B150" t="s">
        <v>1378</v>
      </c>
    </row>
    <row r="151" spans="1:2">
      <c r="A151" t="s">
        <v>225</v>
      </c>
      <c r="B151" t="s">
        <v>1379</v>
      </c>
    </row>
    <row r="152" spans="1:2">
      <c r="A152" t="s">
        <v>227</v>
      </c>
      <c r="B152" t="s">
        <v>1380</v>
      </c>
    </row>
    <row r="153" spans="1:2">
      <c r="A153" t="s">
        <v>229</v>
      </c>
      <c r="B153" t="s">
        <v>1381</v>
      </c>
    </row>
    <row r="154" spans="1:2">
      <c r="A154" t="s">
        <v>231</v>
      </c>
      <c r="B154" t="s">
        <v>1382</v>
      </c>
    </row>
    <row r="155" spans="1:2">
      <c r="A155" t="s">
        <v>233</v>
      </c>
      <c r="B155" t="s">
        <v>1383</v>
      </c>
    </row>
    <row r="156" spans="1:2">
      <c r="A156" t="s">
        <v>235</v>
      </c>
      <c r="B156" t="s">
        <v>1384</v>
      </c>
    </row>
    <row r="157" spans="1:2">
      <c r="A157" t="s">
        <v>237</v>
      </c>
      <c r="B157" t="s">
        <v>1385</v>
      </c>
    </row>
    <row r="158" spans="1:2">
      <c r="A158" t="s">
        <v>239</v>
      </c>
      <c r="B158" t="s">
        <v>1386</v>
      </c>
    </row>
    <row r="159" spans="1:2">
      <c r="A159" t="s">
        <v>241</v>
      </c>
      <c r="B159" t="s">
        <v>1387</v>
      </c>
    </row>
    <row r="160" spans="1:2">
      <c r="A160" t="s">
        <v>243</v>
      </c>
      <c r="B160" t="s">
        <v>1388</v>
      </c>
    </row>
    <row r="161" spans="1:2">
      <c r="A161" t="s">
        <v>245</v>
      </c>
      <c r="B161" t="s">
        <v>1389</v>
      </c>
    </row>
    <row r="162" spans="1:2">
      <c r="A162" t="s">
        <v>247</v>
      </c>
      <c r="B162" t="s">
        <v>1390</v>
      </c>
    </row>
    <row r="163" spans="1:2">
      <c r="A163" t="s">
        <v>249</v>
      </c>
      <c r="B163" t="s">
        <v>1391</v>
      </c>
    </row>
    <row r="164" spans="1:2">
      <c r="A164" t="s">
        <v>251</v>
      </c>
      <c r="B164" t="s">
        <v>1392</v>
      </c>
    </row>
    <row r="165" spans="1:2">
      <c r="A165" t="s">
        <v>253</v>
      </c>
      <c r="B165" t="s">
        <v>1393</v>
      </c>
    </row>
    <row r="166" spans="1:2">
      <c r="A166" t="s">
        <v>255</v>
      </c>
      <c r="B166" t="s">
        <v>1394</v>
      </c>
    </row>
    <row r="167" spans="1:2">
      <c r="A167" t="s">
        <v>257</v>
      </c>
      <c r="B167" t="s">
        <v>1395</v>
      </c>
    </row>
    <row r="168" spans="1:2">
      <c r="A168" t="s">
        <v>259</v>
      </c>
      <c r="B168" t="s">
        <v>1396</v>
      </c>
    </row>
    <row r="169" spans="1:2">
      <c r="A169" t="s">
        <v>261</v>
      </c>
      <c r="B169" t="s">
        <v>1397</v>
      </c>
    </row>
    <row r="170" spans="1:2">
      <c r="A170" t="s">
        <v>263</v>
      </c>
      <c r="B170" t="s">
        <v>1398</v>
      </c>
    </row>
    <row r="171" spans="1:2">
      <c r="A171" t="s">
        <v>2437</v>
      </c>
      <c r="B171" t="s">
        <v>2436</v>
      </c>
    </row>
    <row r="172" spans="1:2">
      <c r="A172" t="s">
        <v>265</v>
      </c>
      <c r="B172" t="s">
        <v>1399</v>
      </c>
    </row>
    <row r="173" spans="1:2">
      <c r="A173" t="s">
        <v>267</v>
      </c>
      <c r="B173" t="s">
        <v>1400</v>
      </c>
    </row>
    <row r="174" spans="1:2">
      <c r="A174" t="s">
        <v>269</v>
      </c>
      <c r="B174" t="s">
        <v>1401</v>
      </c>
    </row>
    <row r="175" spans="1:2">
      <c r="A175" t="s">
        <v>271</v>
      </c>
      <c r="B175" t="s">
        <v>1402</v>
      </c>
    </row>
    <row r="176" spans="1:2">
      <c r="A176" t="s">
        <v>273</v>
      </c>
      <c r="B176" t="s">
        <v>1403</v>
      </c>
    </row>
    <row r="177" spans="1:2">
      <c r="A177" t="s">
        <v>275</v>
      </c>
      <c r="B177" t="s">
        <v>1404</v>
      </c>
    </row>
    <row r="178" spans="1:2">
      <c r="A178" t="s">
        <v>2439</v>
      </c>
      <c r="B178" t="s">
        <v>2438</v>
      </c>
    </row>
    <row r="179" spans="1:2">
      <c r="A179" t="s">
        <v>277</v>
      </c>
      <c r="B179" t="s">
        <v>1405</v>
      </c>
    </row>
    <row r="180" spans="1:2">
      <c r="A180" t="s">
        <v>279</v>
      </c>
      <c r="B180" t="s">
        <v>1406</v>
      </c>
    </row>
    <row r="181" spans="1:2">
      <c r="A181" t="s">
        <v>281</v>
      </c>
      <c r="B181" t="s">
        <v>1407</v>
      </c>
    </row>
    <row r="182" spans="1:2">
      <c r="A182" t="s">
        <v>283</v>
      </c>
      <c r="B182" t="s">
        <v>1408</v>
      </c>
    </row>
    <row r="183" spans="1:2">
      <c r="A183" t="s">
        <v>285</v>
      </c>
      <c r="B183" t="s">
        <v>1409</v>
      </c>
    </row>
    <row r="184" spans="1:2">
      <c r="A184" t="s">
        <v>287</v>
      </c>
      <c r="B184" t="s">
        <v>1410</v>
      </c>
    </row>
    <row r="185" spans="1:2">
      <c r="A185" t="s">
        <v>289</v>
      </c>
      <c r="B185" t="s">
        <v>1411</v>
      </c>
    </row>
    <row r="186" spans="1:2">
      <c r="A186" t="s">
        <v>291</v>
      </c>
      <c r="B186" t="s">
        <v>1412</v>
      </c>
    </row>
    <row r="187" spans="1:2">
      <c r="A187" t="s">
        <v>293</v>
      </c>
      <c r="B187" t="s">
        <v>1413</v>
      </c>
    </row>
    <row r="188" spans="1:2">
      <c r="A188" t="s">
        <v>295</v>
      </c>
      <c r="B188" t="s">
        <v>1414</v>
      </c>
    </row>
    <row r="189" spans="1:2">
      <c r="A189" t="s">
        <v>297</v>
      </c>
      <c r="B189" t="s">
        <v>1415</v>
      </c>
    </row>
    <row r="190" spans="1:2">
      <c r="A190" t="s">
        <v>299</v>
      </c>
      <c r="B190" t="s">
        <v>1416</v>
      </c>
    </row>
    <row r="191" spans="1:2">
      <c r="A191" t="s">
        <v>301</v>
      </c>
      <c r="B191" t="s">
        <v>1417</v>
      </c>
    </row>
    <row r="192" spans="1:2">
      <c r="A192" t="s">
        <v>303</v>
      </c>
      <c r="B192" t="s">
        <v>1418</v>
      </c>
    </row>
    <row r="193" spans="1:2">
      <c r="A193" t="s">
        <v>305</v>
      </c>
      <c r="B193" t="s">
        <v>1419</v>
      </c>
    </row>
    <row r="194" spans="1:2">
      <c r="A194" t="s">
        <v>307</v>
      </c>
      <c r="B194" t="s">
        <v>1420</v>
      </c>
    </row>
    <row r="195" spans="1:2">
      <c r="A195" t="s">
        <v>309</v>
      </c>
      <c r="B195" t="s">
        <v>1421</v>
      </c>
    </row>
    <row r="196" spans="1:2">
      <c r="A196" t="s">
        <v>311</v>
      </c>
      <c r="B196" t="s">
        <v>1422</v>
      </c>
    </row>
    <row r="197" spans="1:2">
      <c r="A197" t="s">
        <v>313</v>
      </c>
      <c r="B197" t="s">
        <v>1423</v>
      </c>
    </row>
    <row r="198" spans="1:2">
      <c r="A198" t="s">
        <v>315</v>
      </c>
      <c r="B198" t="s">
        <v>1424</v>
      </c>
    </row>
    <row r="199" spans="1:2">
      <c r="A199" t="s">
        <v>317</v>
      </c>
      <c r="B199" t="s">
        <v>1425</v>
      </c>
    </row>
    <row r="200" spans="1:2">
      <c r="A200" t="s">
        <v>319</v>
      </c>
      <c r="B200" t="s">
        <v>1426</v>
      </c>
    </row>
    <row r="201" spans="1:2">
      <c r="A201" t="s">
        <v>321</v>
      </c>
      <c r="B201" t="s">
        <v>1427</v>
      </c>
    </row>
    <row r="202" spans="1:2">
      <c r="A202" t="s">
        <v>323</v>
      </c>
      <c r="B202" t="s">
        <v>1428</v>
      </c>
    </row>
    <row r="203" spans="1:2">
      <c r="A203" t="s">
        <v>325</v>
      </c>
      <c r="B203" t="s">
        <v>1429</v>
      </c>
    </row>
    <row r="204" spans="1:2">
      <c r="A204" t="s">
        <v>327</v>
      </c>
      <c r="B204" t="s">
        <v>1430</v>
      </c>
    </row>
    <row r="205" spans="1:2">
      <c r="A205" t="s">
        <v>329</v>
      </c>
      <c r="B205" t="s">
        <v>1431</v>
      </c>
    </row>
    <row r="206" spans="1:2">
      <c r="A206" t="s">
        <v>331</v>
      </c>
      <c r="B206" t="s">
        <v>1432</v>
      </c>
    </row>
    <row r="207" spans="1:2">
      <c r="A207" t="s">
        <v>333</v>
      </c>
      <c r="B207" t="s">
        <v>1433</v>
      </c>
    </row>
    <row r="208" spans="1:2">
      <c r="A208" t="s">
        <v>335</v>
      </c>
      <c r="B208" t="s">
        <v>1434</v>
      </c>
    </row>
    <row r="209" spans="1:2">
      <c r="A209" t="s">
        <v>337</v>
      </c>
      <c r="B209" t="s">
        <v>1435</v>
      </c>
    </row>
    <row r="210" spans="1:2">
      <c r="A210" t="s">
        <v>339</v>
      </c>
      <c r="B210" t="s">
        <v>1436</v>
      </c>
    </row>
    <row r="211" spans="1:2">
      <c r="A211" t="s">
        <v>341</v>
      </c>
      <c r="B211" t="s">
        <v>1437</v>
      </c>
    </row>
    <row r="212" spans="1:2">
      <c r="A212" t="s">
        <v>343</v>
      </c>
      <c r="B212" t="s">
        <v>1438</v>
      </c>
    </row>
    <row r="213" spans="1:2">
      <c r="A213" t="s">
        <v>345</v>
      </c>
      <c r="B213" t="s">
        <v>1439</v>
      </c>
    </row>
    <row r="214" spans="1:2">
      <c r="A214" t="s">
        <v>347</v>
      </c>
      <c r="B214" t="s">
        <v>1440</v>
      </c>
    </row>
    <row r="215" spans="1:2">
      <c r="A215" t="s">
        <v>349</v>
      </c>
      <c r="B215" t="s">
        <v>1441</v>
      </c>
    </row>
    <row r="216" spans="1:2">
      <c r="A216" t="s">
        <v>351</v>
      </c>
      <c r="B216" t="s">
        <v>1442</v>
      </c>
    </row>
    <row r="217" spans="1:2">
      <c r="A217" t="s">
        <v>353</v>
      </c>
      <c r="B217" t="s">
        <v>1443</v>
      </c>
    </row>
    <row r="218" spans="1:2">
      <c r="A218" t="s">
        <v>355</v>
      </c>
      <c r="B218" t="s">
        <v>1444</v>
      </c>
    </row>
    <row r="219" spans="1:2">
      <c r="A219" t="s">
        <v>357</v>
      </c>
      <c r="B219" t="s">
        <v>1445</v>
      </c>
    </row>
    <row r="220" spans="1:2">
      <c r="A220" t="s">
        <v>359</v>
      </c>
      <c r="B220" t="s">
        <v>1446</v>
      </c>
    </row>
    <row r="221" spans="1:2">
      <c r="A221" t="s">
        <v>361</v>
      </c>
      <c r="B221" t="s">
        <v>1447</v>
      </c>
    </row>
    <row r="222" spans="1:2">
      <c r="A222" t="s">
        <v>363</v>
      </c>
      <c r="B222" t="s">
        <v>1448</v>
      </c>
    </row>
    <row r="223" spans="1:2">
      <c r="A223" t="s">
        <v>365</v>
      </c>
      <c r="B223" t="s">
        <v>1449</v>
      </c>
    </row>
    <row r="224" spans="1:2">
      <c r="A224" t="s">
        <v>2441</v>
      </c>
      <c r="B224" t="s">
        <v>2440</v>
      </c>
    </row>
    <row r="225" spans="1:2">
      <c r="A225" t="s">
        <v>367</v>
      </c>
      <c r="B225" t="s">
        <v>1450</v>
      </c>
    </row>
    <row r="226" spans="1:2">
      <c r="A226" t="s">
        <v>369</v>
      </c>
      <c r="B226" t="s">
        <v>1451</v>
      </c>
    </row>
    <row r="227" spans="1:2">
      <c r="A227" t="s">
        <v>371</v>
      </c>
      <c r="B227" t="s">
        <v>1452</v>
      </c>
    </row>
    <row r="228" spans="1:2">
      <c r="A228" t="s">
        <v>373</v>
      </c>
      <c r="B228" t="s">
        <v>1453</v>
      </c>
    </row>
    <row r="229" spans="1:2">
      <c r="A229" t="s">
        <v>375</v>
      </c>
      <c r="B229" t="s">
        <v>1454</v>
      </c>
    </row>
    <row r="230" spans="1:2">
      <c r="A230" t="s">
        <v>377</v>
      </c>
      <c r="B230" t="s">
        <v>1455</v>
      </c>
    </row>
    <row r="231" spans="1:2">
      <c r="A231" t="s">
        <v>379</v>
      </c>
      <c r="B231" t="s">
        <v>1456</v>
      </c>
    </row>
    <row r="232" spans="1:2">
      <c r="A232" t="s">
        <v>381</v>
      </c>
      <c r="B232" t="s">
        <v>1457</v>
      </c>
    </row>
    <row r="233" spans="1:2">
      <c r="A233" t="s">
        <v>383</v>
      </c>
      <c r="B233" t="s">
        <v>1458</v>
      </c>
    </row>
    <row r="234" spans="1:2">
      <c r="A234" t="s">
        <v>385</v>
      </c>
      <c r="B234" t="s">
        <v>1459</v>
      </c>
    </row>
    <row r="235" spans="1:2">
      <c r="A235" t="s">
        <v>387</v>
      </c>
      <c r="B235" t="s">
        <v>1460</v>
      </c>
    </row>
    <row r="236" spans="1:2">
      <c r="A236" t="s">
        <v>389</v>
      </c>
      <c r="B236" t="s">
        <v>1461</v>
      </c>
    </row>
    <row r="237" spans="1:2">
      <c r="A237" t="s">
        <v>391</v>
      </c>
      <c r="B237" t="s">
        <v>1462</v>
      </c>
    </row>
    <row r="238" spans="1:2">
      <c r="A238" t="s">
        <v>393</v>
      </c>
      <c r="B238" t="s">
        <v>1463</v>
      </c>
    </row>
    <row r="239" spans="1:2">
      <c r="A239" t="s">
        <v>395</v>
      </c>
      <c r="B239" t="s">
        <v>1464</v>
      </c>
    </row>
    <row r="240" spans="1:2">
      <c r="A240" t="s">
        <v>397</v>
      </c>
      <c r="B240" t="s">
        <v>1465</v>
      </c>
    </row>
    <row r="241" spans="1:2">
      <c r="A241" t="s">
        <v>399</v>
      </c>
      <c r="B241" t="s">
        <v>1466</v>
      </c>
    </row>
    <row r="242" spans="1:2">
      <c r="A242" t="s">
        <v>401</v>
      </c>
      <c r="B242" t="s">
        <v>1467</v>
      </c>
    </row>
    <row r="243" spans="1:2">
      <c r="A243" t="s">
        <v>403</v>
      </c>
      <c r="B243" t="s">
        <v>1468</v>
      </c>
    </row>
    <row r="244" spans="1:2">
      <c r="A244" t="s">
        <v>405</v>
      </c>
      <c r="B244" t="s">
        <v>1469</v>
      </c>
    </row>
    <row r="245" spans="1:2">
      <c r="A245" t="s">
        <v>407</v>
      </c>
      <c r="B245" t="s">
        <v>1470</v>
      </c>
    </row>
    <row r="246" spans="1:2">
      <c r="A246" t="s">
        <v>409</v>
      </c>
      <c r="B246" t="s">
        <v>1471</v>
      </c>
    </row>
    <row r="247" spans="1:2">
      <c r="A247" t="s">
        <v>411</v>
      </c>
      <c r="B247" t="s">
        <v>1472</v>
      </c>
    </row>
    <row r="248" spans="1:2">
      <c r="A248" t="s">
        <v>413</v>
      </c>
      <c r="B248" t="s">
        <v>1473</v>
      </c>
    </row>
    <row r="249" spans="1:2">
      <c r="A249" t="s">
        <v>415</v>
      </c>
      <c r="B249" t="s">
        <v>1474</v>
      </c>
    </row>
    <row r="250" spans="1:2">
      <c r="A250" t="s">
        <v>417</v>
      </c>
      <c r="B250" t="s">
        <v>1475</v>
      </c>
    </row>
    <row r="251" spans="1:2">
      <c r="A251" t="s">
        <v>419</v>
      </c>
      <c r="B251" t="s">
        <v>1476</v>
      </c>
    </row>
    <row r="252" spans="1:2">
      <c r="A252" t="s">
        <v>421</v>
      </c>
      <c r="B252" t="s">
        <v>1477</v>
      </c>
    </row>
    <row r="253" spans="1:2">
      <c r="A253" t="s">
        <v>423</v>
      </c>
      <c r="B253" t="s">
        <v>1478</v>
      </c>
    </row>
    <row r="254" spans="1:2">
      <c r="A254" t="s">
        <v>425</v>
      </c>
      <c r="B254" t="s">
        <v>1479</v>
      </c>
    </row>
    <row r="255" spans="1:2">
      <c r="A255" t="s">
        <v>427</v>
      </c>
      <c r="B255" t="s">
        <v>1480</v>
      </c>
    </row>
    <row r="256" spans="1:2">
      <c r="A256" t="s">
        <v>429</v>
      </c>
      <c r="B256" t="s">
        <v>1481</v>
      </c>
    </row>
    <row r="257" spans="1:2">
      <c r="A257" t="s">
        <v>431</v>
      </c>
      <c r="B257" t="s">
        <v>1482</v>
      </c>
    </row>
    <row r="258" spans="1:2">
      <c r="A258" t="s">
        <v>433</v>
      </c>
      <c r="B258" t="s">
        <v>1483</v>
      </c>
    </row>
    <row r="259" spans="1:2">
      <c r="A259" t="s">
        <v>435</v>
      </c>
      <c r="B259" t="s">
        <v>1484</v>
      </c>
    </row>
    <row r="260" spans="1:2">
      <c r="A260" t="s">
        <v>437</v>
      </c>
      <c r="B260" t="s">
        <v>1485</v>
      </c>
    </row>
    <row r="261" spans="1:2">
      <c r="A261" t="s">
        <v>439</v>
      </c>
      <c r="B261" t="s">
        <v>1486</v>
      </c>
    </row>
    <row r="262" spans="1:2">
      <c r="A262" t="s">
        <v>441</v>
      </c>
      <c r="B262" t="s">
        <v>1487</v>
      </c>
    </row>
    <row r="263" spans="1:2">
      <c r="A263" t="s">
        <v>443</v>
      </c>
      <c r="B263" t="s">
        <v>1488</v>
      </c>
    </row>
    <row r="264" spans="1:2">
      <c r="A264" t="s">
        <v>445</v>
      </c>
      <c r="B264" t="s">
        <v>1489</v>
      </c>
    </row>
    <row r="265" spans="1:2">
      <c r="A265" t="s">
        <v>447</v>
      </c>
      <c r="B265" t="s">
        <v>1490</v>
      </c>
    </row>
    <row r="266" spans="1:2">
      <c r="A266" t="s">
        <v>449</v>
      </c>
      <c r="B266" t="s">
        <v>1491</v>
      </c>
    </row>
    <row r="267" spans="1:2">
      <c r="A267" t="s">
        <v>451</v>
      </c>
      <c r="B267" t="s">
        <v>1492</v>
      </c>
    </row>
    <row r="268" spans="1:2">
      <c r="A268" t="s">
        <v>453</v>
      </c>
      <c r="B268" t="s">
        <v>1493</v>
      </c>
    </row>
    <row r="269" spans="1:2">
      <c r="A269" t="s">
        <v>455</v>
      </c>
      <c r="B269" t="s">
        <v>1494</v>
      </c>
    </row>
    <row r="270" spans="1:2">
      <c r="A270" t="s">
        <v>457</v>
      </c>
      <c r="B270" t="s">
        <v>1495</v>
      </c>
    </row>
    <row r="271" spans="1:2">
      <c r="A271" t="s">
        <v>459</v>
      </c>
      <c r="B271" t="s">
        <v>1496</v>
      </c>
    </row>
    <row r="272" spans="1:2">
      <c r="A272" t="s">
        <v>461</v>
      </c>
      <c r="B272" t="s">
        <v>1497</v>
      </c>
    </row>
    <row r="273" spans="1:2">
      <c r="A273" t="s">
        <v>463</v>
      </c>
      <c r="B273" t="s">
        <v>1498</v>
      </c>
    </row>
    <row r="274" spans="1:2">
      <c r="A274" t="s">
        <v>465</v>
      </c>
      <c r="B274" t="s">
        <v>1499</v>
      </c>
    </row>
    <row r="275" spans="1:2">
      <c r="A275" t="s">
        <v>467</v>
      </c>
      <c r="B275" t="s">
        <v>1500</v>
      </c>
    </row>
    <row r="276" spans="1:2">
      <c r="A276" t="s">
        <v>469</v>
      </c>
      <c r="B276" t="s">
        <v>1501</v>
      </c>
    </row>
    <row r="277" spans="1:2">
      <c r="A277" t="s">
        <v>471</v>
      </c>
      <c r="B277" t="s">
        <v>1502</v>
      </c>
    </row>
    <row r="278" spans="1:2">
      <c r="A278" t="s">
        <v>473</v>
      </c>
      <c r="B278" t="s">
        <v>1503</v>
      </c>
    </row>
    <row r="279" spans="1:2">
      <c r="A279" t="s">
        <v>475</v>
      </c>
      <c r="B279" t="s">
        <v>1504</v>
      </c>
    </row>
    <row r="280" spans="1:2">
      <c r="A280" t="s">
        <v>477</v>
      </c>
      <c r="B280" t="s">
        <v>1505</v>
      </c>
    </row>
    <row r="281" spans="1:2">
      <c r="A281" t="s">
        <v>479</v>
      </c>
      <c r="B281" t="s">
        <v>1506</v>
      </c>
    </row>
    <row r="282" spans="1:2">
      <c r="A282" t="s">
        <v>481</v>
      </c>
      <c r="B282" t="s">
        <v>1507</v>
      </c>
    </row>
    <row r="283" spans="1:2">
      <c r="A283" t="s">
        <v>483</v>
      </c>
      <c r="B283" t="s">
        <v>1508</v>
      </c>
    </row>
    <row r="284" spans="1:2">
      <c r="A284" t="s">
        <v>485</v>
      </c>
      <c r="B284" t="s">
        <v>1509</v>
      </c>
    </row>
    <row r="285" spans="1:2">
      <c r="A285" t="s">
        <v>487</v>
      </c>
      <c r="B285" t="s">
        <v>1510</v>
      </c>
    </row>
    <row r="286" spans="1:2">
      <c r="A286" t="s">
        <v>489</v>
      </c>
      <c r="B286" t="s">
        <v>1511</v>
      </c>
    </row>
    <row r="287" spans="1:2">
      <c r="A287" t="s">
        <v>491</v>
      </c>
      <c r="B287" t="s">
        <v>1512</v>
      </c>
    </row>
    <row r="288" spans="1:2">
      <c r="A288" t="s">
        <v>493</v>
      </c>
      <c r="B288" t="s">
        <v>1513</v>
      </c>
    </row>
    <row r="289" spans="1:2">
      <c r="A289" t="s">
        <v>495</v>
      </c>
      <c r="B289" t="s">
        <v>1514</v>
      </c>
    </row>
    <row r="290" spans="1:2">
      <c r="A290" t="s">
        <v>497</v>
      </c>
      <c r="B290" t="s">
        <v>1515</v>
      </c>
    </row>
    <row r="291" spans="1:2">
      <c r="A291" t="s">
        <v>499</v>
      </c>
      <c r="B291" t="s">
        <v>1516</v>
      </c>
    </row>
    <row r="292" spans="1:2">
      <c r="A292" t="s">
        <v>501</v>
      </c>
      <c r="B292" t="s">
        <v>1517</v>
      </c>
    </row>
    <row r="293" spans="1:2">
      <c r="A293" t="s">
        <v>503</v>
      </c>
      <c r="B293" t="s">
        <v>1518</v>
      </c>
    </row>
    <row r="294" spans="1:2">
      <c r="A294" t="s">
        <v>505</v>
      </c>
      <c r="B294" t="s">
        <v>1519</v>
      </c>
    </row>
    <row r="295" spans="1:2">
      <c r="A295" t="s">
        <v>507</v>
      </c>
      <c r="B295" t="s">
        <v>1520</v>
      </c>
    </row>
    <row r="296" spans="1:2">
      <c r="A296" t="s">
        <v>509</v>
      </c>
      <c r="B296" t="s">
        <v>1521</v>
      </c>
    </row>
    <row r="297" spans="1:2">
      <c r="A297" t="s">
        <v>511</v>
      </c>
      <c r="B297" t="s">
        <v>1522</v>
      </c>
    </row>
    <row r="298" spans="1:2">
      <c r="A298" t="s">
        <v>513</v>
      </c>
      <c r="B298" t="s">
        <v>1523</v>
      </c>
    </row>
    <row r="299" spans="1:2">
      <c r="A299" t="s">
        <v>515</v>
      </c>
      <c r="B299" t="s">
        <v>1524</v>
      </c>
    </row>
    <row r="300" spans="1:2">
      <c r="A300" t="s">
        <v>517</v>
      </c>
      <c r="B300" t="s">
        <v>1525</v>
      </c>
    </row>
    <row r="301" spans="1:2">
      <c r="A301" t="s">
        <v>519</v>
      </c>
      <c r="B301" t="s">
        <v>1526</v>
      </c>
    </row>
    <row r="302" spans="1:2">
      <c r="A302" t="s">
        <v>521</v>
      </c>
      <c r="B302" t="s">
        <v>1527</v>
      </c>
    </row>
    <row r="303" spans="1:2">
      <c r="A303" t="s">
        <v>523</v>
      </c>
      <c r="B303" t="s">
        <v>1528</v>
      </c>
    </row>
    <row r="304" spans="1:2">
      <c r="A304" t="s">
        <v>525</v>
      </c>
      <c r="B304" t="s">
        <v>1529</v>
      </c>
    </row>
    <row r="305" spans="1:2">
      <c r="A305" t="s">
        <v>527</v>
      </c>
      <c r="B305" t="s">
        <v>1530</v>
      </c>
    </row>
    <row r="306" spans="1:2">
      <c r="A306" t="s">
        <v>529</v>
      </c>
      <c r="B306" t="s">
        <v>1531</v>
      </c>
    </row>
    <row r="307" spans="1:2">
      <c r="A307" t="s">
        <v>531</v>
      </c>
      <c r="B307" t="s">
        <v>1532</v>
      </c>
    </row>
    <row r="308" spans="1:2">
      <c r="A308" t="s">
        <v>533</v>
      </c>
      <c r="B308" t="s">
        <v>1533</v>
      </c>
    </row>
    <row r="309" spans="1:2">
      <c r="A309" t="s">
        <v>535</v>
      </c>
      <c r="B309" t="s">
        <v>1534</v>
      </c>
    </row>
    <row r="310" spans="1:2">
      <c r="A310" t="s">
        <v>537</v>
      </c>
      <c r="B310" t="s">
        <v>1535</v>
      </c>
    </row>
    <row r="311" spans="1:2">
      <c r="A311" t="s">
        <v>539</v>
      </c>
      <c r="B311" t="s">
        <v>1536</v>
      </c>
    </row>
    <row r="312" spans="1:2">
      <c r="A312" t="s">
        <v>541</v>
      </c>
      <c r="B312" t="s">
        <v>1537</v>
      </c>
    </row>
    <row r="313" spans="1:2">
      <c r="A313" t="s">
        <v>543</v>
      </c>
      <c r="B313" t="s">
        <v>1538</v>
      </c>
    </row>
    <row r="314" spans="1:2">
      <c r="A314" t="s">
        <v>545</v>
      </c>
      <c r="B314" t="s">
        <v>1539</v>
      </c>
    </row>
    <row r="315" spans="1:2">
      <c r="A315" t="s">
        <v>547</v>
      </c>
      <c r="B315" t="s">
        <v>1540</v>
      </c>
    </row>
    <row r="316" spans="1:2">
      <c r="A316" t="s">
        <v>2443</v>
      </c>
      <c r="B316" t="s">
        <v>2442</v>
      </c>
    </row>
    <row r="317" spans="1:2">
      <c r="A317" t="s">
        <v>549</v>
      </c>
      <c r="B317" t="s">
        <v>1541</v>
      </c>
    </row>
    <row r="318" spans="1:2">
      <c r="A318" t="s">
        <v>551</v>
      </c>
      <c r="B318" t="s">
        <v>1542</v>
      </c>
    </row>
    <row r="319" spans="1:2">
      <c r="A319" t="s">
        <v>2444</v>
      </c>
      <c r="B319" t="s">
        <v>1543</v>
      </c>
    </row>
    <row r="320" spans="1:2">
      <c r="A320" t="s">
        <v>554</v>
      </c>
      <c r="B320" t="s">
        <v>1544</v>
      </c>
    </row>
    <row r="321" spans="1:2">
      <c r="A321" t="s">
        <v>556</v>
      </c>
      <c r="B321" t="s">
        <v>1545</v>
      </c>
    </row>
    <row r="322" spans="1:2">
      <c r="A322" t="s">
        <v>558</v>
      </c>
      <c r="B322" t="s">
        <v>1546</v>
      </c>
    </row>
    <row r="323" spans="1:2">
      <c r="A323" t="s">
        <v>560</v>
      </c>
      <c r="B323" t="s">
        <v>1547</v>
      </c>
    </row>
    <row r="324" spans="1:2">
      <c r="A324" t="s">
        <v>562</v>
      </c>
      <c r="B324" t="s">
        <v>1548</v>
      </c>
    </row>
    <row r="325" spans="1:2">
      <c r="A325" t="s">
        <v>564</v>
      </c>
      <c r="B325" t="s">
        <v>1549</v>
      </c>
    </row>
    <row r="326" spans="1:2">
      <c r="A326" t="s">
        <v>566</v>
      </c>
      <c r="B326" t="s">
        <v>1550</v>
      </c>
    </row>
    <row r="327" spans="1:2">
      <c r="A327" t="s">
        <v>568</v>
      </c>
      <c r="B327" t="s">
        <v>1551</v>
      </c>
    </row>
    <row r="328" spans="1:2">
      <c r="A328" t="s">
        <v>570</v>
      </c>
      <c r="B328" t="s">
        <v>1552</v>
      </c>
    </row>
    <row r="329" spans="1:2">
      <c r="A329" t="s">
        <v>572</v>
      </c>
      <c r="B329" t="s">
        <v>1553</v>
      </c>
    </row>
    <row r="330" spans="1:2">
      <c r="A330" t="s">
        <v>574</v>
      </c>
      <c r="B330" t="s">
        <v>1554</v>
      </c>
    </row>
    <row r="331" spans="1:2">
      <c r="A331" t="s">
        <v>576</v>
      </c>
      <c r="B331" t="s">
        <v>1555</v>
      </c>
    </row>
    <row r="332" spans="1:2">
      <c r="A332" t="s">
        <v>578</v>
      </c>
      <c r="B332" t="s">
        <v>1556</v>
      </c>
    </row>
    <row r="333" spans="1:2">
      <c r="A333" t="s">
        <v>580</v>
      </c>
      <c r="B333" t="s">
        <v>1557</v>
      </c>
    </row>
    <row r="334" spans="1:2">
      <c r="A334" t="s">
        <v>582</v>
      </c>
      <c r="B334" t="s">
        <v>1558</v>
      </c>
    </row>
    <row r="335" spans="1:2">
      <c r="A335" t="s">
        <v>584</v>
      </c>
      <c r="B335" t="s">
        <v>1559</v>
      </c>
    </row>
    <row r="336" spans="1:2">
      <c r="A336" t="s">
        <v>586</v>
      </c>
      <c r="B336" t="s">
        <v>1560</v>
      </c>
    </row>
    <row r="337" spans="1:2">
      <c r="A337" t="s">
        <v>588</v>
      </c>
      <c r="B337" t="s">
        <v>1561</v>
      </c>
    </row>
    <row r="338" spans="1:2">
      <c r="A338" t="s">
        <v>590</v>
      </c>
      <c r="B338" t="s">
        <v>1562</v>
      </c>
    </row>
    <row r="339" spans="1:2">
      <c r="A339" t="s">
        <v>592</v>
      </c>
      <c r="B339" t="s">
        <v>1563</v>
      </c>
    </row>
    <row r="340" spans="1:2">
      <c r="A340" t="s">
        <v>594</v>
      </c>
      <c r="B340" t="s">
        <v>1564</v>
      </c>
    </row>
    <row r="341" spans="1:2">
      <c r="A341" t="s">
        <v>596</v>
      </c>
      <c r="B341" t="s">
        <v>1565</v>
      </c>
    </row>
    <row r="342" spans="1:2">
      <c r="A342" t="s">
        <v>598</v>
      </c>
      <c r="B342" t="s">
        <v>1566</v>
      </c>
    </row>
    <row r="343" spans="1:2">
      <c r="A343" t="s">
        <v>600</v>
      </c>
      <c r="B343" t="s">
        <v>1567</v>
      </c>
    </row>
    <row r="344" spans="1:2">
      <c r="A344" t="s">
        <v>602</v>
      </c>
      <c r="B344" t="s">
        <v>1568</v>
      </c>
    </row>
    <row r="345" spans="1:2">
      <c r="A345" t="s">
        <v>604</v>
      </c>
      <c r="B345" t="s">
        <v>1569</v>
      </c>
    </row>
    <row r="346" spans="1:2">
      <c r="A346" t="s">
        <v>606</v>
      </c>
      <c r="B346" t="s">
        <v>1570</v>
      </c>
    </row>
    <row r="347" spans="1:2">
      <c r="A347" t="s">
        <v>608</v>
      </c>
      <c r="B347" t="s">
        <v>1571</v>
      </c>
    </row>
    <row r="348" spans="1:2">
      <c r="A348" t="s">
        <v>610</v>
      </c>
      <c r="B348" t="s">
        <v>1572</v>
      </c>
    </row>
    <row r="349" spans="1:2">
      <c r="A349" t="s">
        <v>612</v>
      </c>
      <c r="B349" t="s">
        <v>1573</v>
      </c>
    </row>
    <row r="350" spans="1:2">
      <c r="A350" t="s">
        <v>614</v>
      </c>
      <c r="B350" t="s">
        <v>1574</v>
      </c>
    </row>
    <row r="351" spans="1:2">
      <c r="A351" t="s">
        <v>616</v>
      </c>
      <c r="B351" t="s">
        <v>1575</v>
      </c>
    </row>
    <row r="352" spans="1:2">
      <c r="A352" t="s">
        <v>2446</v>
      </c>
      <c r="B352" t="s">
        <v>2445</v>
      </c>
    </row>
    <row r="353" spans="1:2">
      <c r="A353" t="s">
        <v>618</v>
      </c>
      <c r="B353" t="s">
        <v>1576</v>
      </c>
    </row>
    <row r="354" spans="1:2">
      <c r="A354" t="s">
        <v>620</v>
      </c>
      <c r="B354" t="s">
        <v>1577</v>
      </c>
    </row>
    <row r="355" spans="1:2">
      <c r="A355" t="s">
        <v>622</v>
      </c>
      <c r="B355" t="s">
        <v>1578</v>
      </c>
    </row>
    <row r="356" spans="1:2">
      <c r="A356" t="s">
        <v>624</v>
      </c>
      <c r="B356" t="s">
        <v>1579</v>
      </c>
    </row>
    <row r="357" spans="1:2">
      <c r="A357" t="s">
        <v>626</v>
      </c>
      <c r="B357" t="s">
        <v>1580</v>
      </c>
    </row>
    <row r="358" spans="1:2">
      <c r="A358" t="s">
        <v>628</v>
      </c>
      <c r="B358" t="s">
        <v>1581</v>
      </c>
    </row>
    <row r="359" spans="1:2">
      <c r="A359" t="s">
        <v>630</v>
      </c>
      <c r="B359" t="s">
        <v>1582</v>
      </c>
    </row>
    <row r="360" spans="1:2">
      <c r="A360" t="s">
        <v>632</v>
      </c>
      <c r="B360" t="s">
        <v>1583</v>
      </c>
    </row>
    <row r="361" spans="1:2">
      <c r="A361" t="s">
        <v>634</v>
      </c>
      <c r="B361" t="s">
        <v>1584</v>
      </c>
    </row>
    <row r="362" spans="1:2">
      <c r="A362" t="s">
        <v>636</v>
      </c>
      <c r="B362" t="s">
        <v>1585</v>
      </c>
    </row>
    <row r="363" spans="1:2">
      <c r="A363" t="s">
        <v>638</v>
      </c>
      <c r="B363" t="s">
        <v>1586</v>
      </c>
    </row>
    <row r="364" spans="1:2">
      <c r="A364" t="s">
        <v>640</v>
      </c>
      <c r="B364" t="s">
        <v>1587</v>
      </c>
    </row>
    <row r="365" spans="1:2">
      <c r="A365" t="s">
        <v>642</v>
      </c>
      <c r="B365" t="s">
        <v>1588</v>
      </c>
    </row>
    <row r="366" spans="1:2">
      <c r="A366" t="s">
        <v>644</v>
      </c>
      <c r="B366" t="s">
        <v>1589</v>
      </c>
    </row>
    <row r="367" spans="1:2">
      <c r="A367" t="s">
        <v>646</v>
      </c>
      <c r="B367" t="s">
        <v>1590</v>
      </c>
    </row>
    <row r="368" spans="1:2">
      <c r="A368" t="s">
        <v>648</v>
      </c>
      <c r="B368" t="s">
        <v>1591</v>
      </c>
    </row>
    <row r="369" spans="1:2">
      <c r="A369" t="s">
        <v>650</v>
      </c>
      <c r="B369" t="s">
        <v>1592</v>
      </c>
    </row>
    <row r="370" spans="1:2">
      <c r="A370" t="s">
        <v>652</v>
      </c>
      <c r="B370" t="s">
        <v>1593</v>
      </c>
    </row>
    <row r="371" spans="1:2">
      <c r="A371" t="s">
        <v>654</v>
      </c>
      <c r="B371" t="s">
        <v>1594</v>
      </c>
    </row>
    <row r="372" spans="1:2">
      <c r="A372" t="s">
        <v>656</v>
      </c>
      <c r="B372" t="s">
        <v>1595</v>
      </c>
    </row>
    <row r="373" spans="1:2">
      <c r="A373" t="s">
        <v>658</v>
      </c>
      <c r="B373" t="s">
        <v>1596</v>
      </c>
    </row>
    <row r="374" spans="1:2">
      <c r="A374" t="s">
        <v>660</v>
      </c>
      <c r="B374" t="s">
        <v>1597</v>
      </c>
    </row>
    <row r="375" spans="1:2">
      <c r="A375" t="s">
        <v>662</v>
      </c>
      <c r="B375" t="s">
        <v>1598</v>
      </c>
    </row>
    <row r="376" spans="1:2">
      <c r="A376" t="s">
        <v>664</v>
      </c>
      <c r="B376" t="s">
        <v>1599</v>
      </c>
    </row>
    <row r="377" spans="1:2">
      <c r="A377" t="s">
        <v>666</v>
      </c>
      <c r="B377" t="s">
        <v>1600</v>
      </c>
    </row>
    <row r="378" spans="1:2">
      <c r="A378" t="s">
        <v>668</v>
      </c>
      <c r="B378" t="s">
        <v>1601</v>
      </c>
    </row>
    <row r="379" spans="1:2">
      <c r="A379" t="s">
        <v>670</v>
      </c>
      <c r="B379" t="s">
        <v>1602</v>
      </c>
    </row>
    <row r="380" spans="1:2">
      <c r="A380" t="s">
        <v>672</v>
      </c>
      <c r="B380" t="s">
        <v>1603</v>
      </c>
    </row>
    <row r="381" spans="1:2">
      <c r="A381" t="s">
        <v>674</v>
      </c>
      <c r="B381" t="s">
        <v>1604</v>
      </c>
    </row>
    <row r="382" spans="1:2">
      <c r="A382" t="s">
        <v>676</v>
      </c>
      <c r="B382" t="s">
        <v>1605</v>
      </c>
    </row>
    <row r="383" spans="1:2">
      <c r="A383" t="s">
        <v>678</v>
      </c>
      <c r="B383" t="s">
        <v>1606</v>
      </c>
    </row>
    <row r="384" spans="1:2">
      <c r="A384" t="s">
        <v>680</v>
      </c>
      <c r="B384" t="s">
        <v>1607</v>
      </c>
    </row>
    <row r="385" spans="1:2">
      <c r="A385" t="s">
        <v>682</v>
      </c>
      <c r="B385" t="s">
        <v>1608</v>
      </c>
    </row>
    <row r="386" spans="1:2">
      <c r="A386" t="s">
        <v>684</v>
      </c>
      <c r="B386" t="s">
        <v>1609</v>
      </c>
    </row>
    <row r="387" spans="1:2">
      <c r="A387" t="s">
        <v>686</v>
      </c>
      <c r="B387" t="s">
        <v>1610</v>
      </c>
    </row>
    <row r="388" spans="1:2">
      <c r="A388" t="s">
        <v>688</v>
      </c>
      <c r="B388" t="s">
        <v>1611</v>
      </c>
    </row>
    <row r="389" spans="1:2">
      <c r="A389" t="s">
        <v>2448</v>
      </c>
      <c r="B389" t="s">
        <v>2447</v>
      </c>
    </row>
    <row r="390" spans="1:2">
      <c r="A390" t="s">
        <v>690</v>
      </c>
      <c r="B390" t="s">
        <v>1612</v>
      </c>
    </row>
    <row r="391" spans="1:2">
      <c r="A391" t="s">
        <v>692</v>
      </c>
      <c r="B391" t="s">
        <v>1613</v>
      </c>
    </row>
    <row r="392" spans="1:2">
      <c r="A392" t="s">
        <v>694</v>
      </c>
      <c r="B392" t="s">
        <v>1614</v>
      </c>
    </row>
    <row r="393" spans="1:2">
      <c r="A393" t="s">
        <v>696</v>
      </c>
      <c r="B393" t="s">
        <v>1615</v>
      </c>
    </row>
    <row r="394" spans="1:2">
      <c r="A394" t="s">
        <v>698</v>
      </c>
      <c r="B394" t="s">
        <v>1616</v>
      </c>
    </row>
    <row r="395" spans="1:2">
      <c r="A395" t="s">
        <v>700</v>
      </c>
      <c r="B395" t="s">
        <v>1617</v>
      </c>
    </row>
    <row r="396" spans="1:2">
      <c r="A396" t="s">
        <v>702</v>
      </c>
      <c r="B396" t="s">
        <v>1618</v>
      </c>
    </row>
    <row r="397" spans="1:2">
      <c r="A397" t="s">
        <v>704</v>
      </c>
      <c r="B397" t="s">
        <v>1619</v>
      </c>
    </row>
    <row r="398" spans="1:2">
      <c r="A398" t="s">
        <v>706</v>
      </c>
      <c r="B398" t="s">
        <v>1620</v>
      </c>
    </row>
    <row r="399" spans="1:2">
      <c r="A399" t="s">
        <v>708</v>
      </c>
      <c r="B399" t="s">
        <v>1621</v>
      </c>
    </row>
    <row r="400" spans="1:2">
      <c r="A400" t="s">
        <v>710</v>
      </c>
      <c r="B400" t="s">
        <v>1622</v>
      </c>
    </row>
    <row r="401" spans="1:2">
      <c r="A401" t="s">
        <v>712</v>
      </c>
      <c r="B401" t="s">
        <v>1623</v>
      </c>
    </row>
    <row r="402" spans="1:2">
      <c r="A402" t="s">
        <v>714</v>
      </c>
      <c r="B402" t="s">
        <v>1624</v>
      </c>
    </row>
    <row r="403" spans="1:2">
      <c r="A403" t="s">
        <v>716</v>
      </c>
      <c r="B403" t="s">
        <v>1625</v>
      </c>
    </row>
    <row r="404" spans="1:2">
      <c r="A404" t="s">
        <v>718</v>
      </c>
      <c r="B404" t="s">
        <v>1626</v>
      </c>
    </row>
    <row r="405" spans="1:2">
      <c r="A405" t="s">
        <v>720</v>
      </c>
      <c r="B405" t="s">
        <v>1627</v>
      </c>
    </row>
    <row r="406" spans="1:2">
      <c r="A406" t="s">
        <v>722</v>
      </c>
      <c r="B406" t="s">
        <v>1628</v>
      </c>
    </row>
    <row r="407" spans="1:2">
      <c r="A407" t="s">
        <v>724</v>
      </c>
      <c r="B407" t="s">
        <v>1629</v>
      </c>
    </row>
    <row r="408" spans="1:2">
      <c r="A408" t="s">
        <v>726</v>
      </c>
      <c r="B408" t="s">
        <v>1630</v>
      </c>
    </row>
    <row r="409" spans="1:2">
      <c r="A409" t="s">
        <v>728</v>
      </c>
      <c r="B409" t="s">
        <v>1631</v>
      </c>
    </row>
    <row r="410" spans="1:2">
      <c r="A410" t="s">
        <v>730</v>
      </c>
      <c r="B410" t="s">
        <v>1632</v>
      </c>
    </row>
    <row r="411" spans="1:2">
      <c r="A411" t="s">
        <v>732</v>
      </c>
      <c r="B411" t="s">
        <v>1633</v>
      </c>
    </row>
    <row r="412" spans="1:2">
      <c r="A412" t="s">
        <v>734</v>
      </c>
      <c r="B412" t="s">
        <v>1634</v>
      </c>
    </row>
    <row r="413" spans="1:2">
      <c r="A413" t="s">
        <v>736</v>
      </c>
      <c r="B413" t="s">
        <v>1635</v>
      </c>
    </row>
    <row r="414" spans="1:2">
      <c r="A414" t="s">
        <v>738</v>
      </c>
      <c r="B414" t="s">
        <v>1636</v>
      </c>
    </row>
    <row r="415" spans="1:2">
      <c r="A415" t="s">
        <v>740</v>
      </c>
      <c r="B415" t="s">
        <v>1637</v>
      </c>
    </row>
    <row r="416" spans="1:2">
      <c r="A416" t="s">
        <v>742</v>
      </c>
      <c r="B416" t="s">
        <v>1638</v>
      </c>
    </row>
    <row r="417" spans="1:2">
      <c r="A417" t="s">
        <v>744</v>
      </c>
      <c r="B417" t="s">
        <v>1639</v>
      </c>
    </row>
    <row r="418" spans="1:2">
      <c r="A418" t="s">
        <v>746</v>
      </c>
      <c r="B418" t="s">
        <v>1640</v>
      </c>
    </row>
    <row r="419" spans="1:2">
      <c r="A419" t="s">
        <v>748</v>
      </c>
      <c r="B419" t="s">
        <v>1641</v>
      </c>
    </row>
    <row r="420" spans="1:2">
      <c r="A420" t="s">
        <v>750</v>
      </c>
      <c r="B420" t="s">
        <v>1642</v>
      </c>
    </row>
    <row r="421" spans="1:2">
      <c r="A421" t="s">
        <v>752</v>
      </c>
      <c r="B421" t="s">
        <v>1643</v>
      </c>
    </row>
    <row r="422" spans="1:2">
      <c r="A422" t="s">
        <v>754</v>
      </c>
      <c r="B422" t="s">
        <v>1644</v>
      </c>
    </row>
    <row r="423" spans="1:2">
      <c r="A423" t="s">
        <v>756</v>
      </c>
      <c r="B423" t="s">
        <v>1645</v>
      </c>
    </row>
    <row r="424" spans="1:2">
      <c r="A424" t="s">
        <v>758</v>
      </c>
      <c r="B424" t="s">
        <v>1646</v>
      </c>
    </row>
    <row r="425" spans="1:2">
      <c r="A425" t="s">
        <v>760</v>
      </c>
      <c r="B425" t="s">
        <v>1647</v>
      </c>
    </row>
    <row r="426" spans="1:2">
      <c r="A426" t="s">
        <v>762</v>
      </c>
      <c r="B426" t="s">
        <v>1648</v>
      </c>
    </row>
    <row r="427" spans="1:2">
      <c r="A427" t="s">
        <v>764</v>
      </c>
      <c r="B427" t="s">
        <v>1649</v>
      </c>
    </row>
    <row r="428" spans="1:2">
      <c r="A428" t="s">
        <v>766</v>
      </c>
      <c r="B428" t="s">
        <v>1650</v>
      </c>
    </row>
    <row r="429" spans="1:2">
      <c r="A429" t="s">
        <v>768</v>
      </c>
      <c r="B429" t="s">
        <v>1651</v>
      </c>
    </row>
    <row r="430" spans="1:2">
      <c r="A430" t="s">
        <v>770</v>
      </c>
      <c r="B430" t="s">
        <v>1652</v>
      </c>
    </row>
    <row r="431" spans="1:2">
      <c r="A431" t="s">
        <v>772</v>
      </c>
      <c r="B431" t="s">
        <v>1653</v>
      </c>
    </row>
    <row r="432" spans="1:2">
      <c r="A432" t="s">
        <v>774</v>
      </c>
      <c r="B432" t="s">
        <v>1654</v>
      </c>
    </row>
    <row r="433" spans="1:2">
      <c r="A433" t="s">
        <v>776</v>
      </c>
      <c r="B433" t="s">
        <v>1655</v>
      </c>
    </row>
    <row r="434" spans="1:2">
      <c r="A434" t="s">
        <v>778</v>
      </c>
      <c r="B434" t="s">
        <v>1656</v>
      </c>
    </row>
    <row r="435" spans="1:2">
      <c r="A435" t="s">
        <v>780</v>
      </c>
      <c r="B435" t="s">
        <v>1657</v>
      </c>
    </row>
    <row r="436" spans="1:2">
      <c r="A436" t="s">
        <v>782</v>
      </c>
      <c r="B436" t="s">
        <v>1658</v>
      </c>
    </row>
    <row r="437" spans="1:2">
      <c r="A437" t="s">
        <v>784</v>
      </c>
      <c r="B437" t="s">
        <v>1659</v>
      </c>
    </row>
    <row r="438" spans="1:2">
      <c r="A438" t="s">
        <v>786</v>
      </c>
      <c r="B438" t="s">
        <v>1660</v>
      </c>
    </row>
    <row r="439" spans="1:2">
      <c r="A439" t="s">
        <v>788</v>
      </c>
      <c r="B439" t="s">
        <v>1661</v>
      </c>
    </row>
    <row r="440" spans="1:2">
      <c r="A440" t="s">
        <v>790</v>
      </c>
      <c r="B440" t="s">
        <v>1662</v>
      </c>
    </row>
    <row r="441" spans="1:2">
      <c r="A441" t="s">
        <v>792</v>
      </c>
      <c r="B441" t="s">
        <v>1663</v>
      </c>
    </row>
    <row r="442" spans="1:2">
      <c r="A442" t="s">
        <v>794</v>
      </c>
      <c r="B442" t="s">
        <v>1664</v>
      </c>
    </row>
    <row r="443" spans="1:2">
      <c r="A443" t="s">
        <v>796</v>
      </c>
      <c r="B443" t="s">
        <v>1665</v>
      </c>
    </row>
    <row r="444" spans="1:2">
      <c r="A444" t="s">
        <v>798</v>
      </c>
      <c r="B444" t="s">
        <v>1666</v>
      </c>
    </row>
    <row r="445" spans="1:2">
      <c r="A445" t="s">
        <v>800</v>
      </c>
      <c r="B445" t="s">
        <v>1667</v>
      </c>
    </row>
    <row r="446" spans="1:2">
      <c r="A446" t="s">
        <v>802</v>
      </c>
      <c r="B446" t="s">
        <v>1668</v>
      </c>
    </row>
    <row r="447" spans="1:2">
      <c r="A447" t="s">
        <v>804</v>
      </c>
      <c r="B447" t="s">
        <v>1669</v>
      </c>
    </row>
    <row r="448" spans="1:2">
      <c r="A448" t="s">
        <v>806</v>
      </c>
      <c r="B448" t="s">
        <v>1670</v>
      </c>
    </row>
    <row r="449" spans="1:2">
      <c r="A449" t="s">
        <v>808</v>
      </c>
      <c r="B449" t="s">
        <v>1671</v>
      </c>
    </row>
    <row r="450" spans="1:2">
      <c r="A450" t="s">
        <v>810</v>
      </c>
      <c r="B450" t="s">
        <v>1672</v>
      </c>
    </row>
    <row r="451" spans="1:2">
      <c r="A451" t="s">
        <v>812</v>
      </c>
      <c r="B451" t="s">
        <v>1673</v>
      </c>
    </row>
    <row r="452" spans="1:2">
      <c r="A452" t="s">
        <v>814</v>
      </c>
      <c r="B452" t="s">
        <v>1674</v>
      </c>
    </row>
    <row r="453" spans="1:2">
      <c r="A453" t="s">
        <v>816</v>
      </c>
      <c r="B453" t="s">
        <v>1675</v>
      </c>
    </row>
    <row r="454" spans="1:2">
      <c r="A454" t="s">
        <v>818</v>
      </c>
      <c r="B454" t="s">
        <v>1676</v>
      </c>
    </row>
    <row r="455" spans="1:2">
      <c r="A455" t="s">
        <v>820</v>
      </c>
      <c r="B455" t="s">
        <v>1677</v>
      </c>
    </row>
    <row r="456" spans="1:2">
      <c r="A456" t="s">
        <v>822</v>
      </c>
      <c r="B456" t="s">
        <v>1678</v>
      </c>
    </row>
    <row r="457" spans="1:2">
      <c r="A457" t="s">
        <v>824</v>
      </c>
      <c r="B457" t="s">
        <v>1679</v>
      </c>
    </row>
    <row r="458" spans="1:2">
      <c r="A458" t="s">
        <v>2450</v>
      </c>
      <c r="B458" t="s">
        <v>2449</v>
      </c>
    </row>
    <row r="459" spans="1:2">
      <c r="A459" t="s">
        <v>826</v>
      </c>
      <c r="B459" t="s">
        <v>1680</v>
      </c>
    </row>
    <row r="460" spans="1:2">
      <c r="A460" t="s">
        <v>828</v>
      </c>
      <c r="B460" t="s">
        <v>1681</v>
      </c>
    </row>
    <row r="461" spans="1:2">
      <c r="A461" t="s">
        <v>830</v>
      </c>
      <c r="B461" t="s">
        <v>1682</v>
      </c>
    </row>
    <row r="462" spans="1:2">
      <c r="A462" t="s">
        <v>832</v>
      </c>
      <c r="B462" t="s">
        <v>1683</v>
      </c>
    </row>
    <row r="463" spans="1:2">
      <c r="A463" t="s">
        <v>834</v>
      </c>
      <c r="B463" t="s">
        <v>1684</v>
      </c>
    </row>
    <row r="464" spans="1:2">
      <c r="A464" t="s">
        <v>836</v>
      </c>
      <c r="B464" t="s">
        <v>1685</v>
      </c>
    </row>
    <row r="465" spans="1:2">
      <c r="A465" t="s">
        <v>838</v>
      </c>
      <c r="B465" t="s">
        <v>1686</v>
      </c>
    </row>
    <row r="466" spans="1:2">
      <c r="A466" t="s">
        <v>840</v>
      </c>
      <c r="B466" t="s">
        <v>1687</v>
      </c>
    </row>
    <row r="467" spans="1:2">
      <c r="A467" t="s">
        <v>842</v>
      </c>
      <c r="B467" t="s">
        <v>1688</v>
      </c>
    </row>
    <row r="468" spans="1:2">
      <c r="A468" t="s">
        <v>844</v>
      </c>
      <c r="B468" t="s">
        <v>1689</v>
      </c>
    </row>
    <row r="469" spans="1:2">
      <c r="A469" t="s">
        <v>846</v>
      </c>
      <c r="B469" t="s">
        <v>1690</v>
      </c>
    </row>
    <row r="470" spans="1:2">
      <c r="A470" t="s">
        <v>848</v>
      </c>
      <c r="B470" t="s">
        <v>1691</v>
      </c>
    </row>
    <row r="471" spans="1:2">
      <c r="A471" t="s">
        <v>850</v>
      </c>
      <c r="B471" t="s">
        <v>1692</v>
      </c>
    </row>
    <row r="472" spans="1:2">
      <c r="A472" t="s">
        <v>852</v>
      </c>
      <c r="B472" t="s">
        <v>1693</v>
      </c>
    </row>
    <row r="473" spans="1:2">
      <c r="A473" t="s">
        <v>854</v>
      </c>
      <c r="B473" t="s">
        <v>1694</v>
      </c>
    </row>
    <row r="474" spans="1:2">
      <c r="A474" t="s">
        <v>856</v>
      </c>
      <c r="B474" t="s">
        <v>1695</v>
      </c>
    </row>
    <row r="475" spans="1:2">
      <c r="A475" t="s">
        <v>858</v>
      </c>
      <c r="B475" t="s">
        <v>1696</v>
      </c>
    </row>
    <row r="476" spans="1:2">
      <c r="A476" t="s">
        <v>860</v>
      </c>
      <c r="B476" t="s">
        <v>1697</v>
      </c>
    </row>
    <row r="477" spans="1:2">
      <c r="A477" t="s">
        <v>862</v>
      </c>
      <c r="B477" t="s">
        <v>1698</v>
      </c>
    </row>
    <row r="478" spans="1:2">
      <c r="A478" t="s">
        <v>864</v>
      </c>
      <c r="B478" t="s">
        <v>1699</v>
      </c>
    </row>
    <row r="479" spans="1:2">
      <c r="A479" t="s">
        <v>866</v>
      </c>
      <c r="B479" t="s">
        <v>1700</v>
      </c>
    </row>
    <row r="480" spans="1:2">
      <c r="A480" t="s">
        <v>868</v>
      </c>
      <c r="B480" t="s">
        <v>1701</v>
      </c>
    </row>
    <row r="481" spans="1:2">
      <c r="A481" t="s">
        <v>2452</v>
      </c>
      <c r="B481" t="s">
        <v>2451</v>
      </c>
    </row>
    <row r="482" spans="1:2">
      <c r="A482" t="s">
        <v>870</v>
      </c>
      <c r="B482" t="s">
        <v>1702</v>
      </c>
    </row>
    <row r="483" spans="1:2">
      <c r="A483" t="s">
        <v>872</v>
      </c>
      <c r="B483" t="s">
        <v>1703</v>
      </c>
    </row>
    <row r="484" spans="1:2">
      <c r="A484" t="s">
        <v>874</v>
      </c>
      <c r="B484" t="s">
        <v>1704</v>
      </c>
    </row>
    <row r="485" spans="1:2">
      <c r="A485" t="s">
        <v>876</v>
      </c>
      <c r="B485" t="s">
        <v>1705</v>
      </c>
    </row>
    <row r="486" spans="1:2">
      <c r="A486" t="s">
        <v>878</v>
      </c>
      <c r="B486" t="s">
        <v>1706</v>
      </c>
    </row>
    <row r="487" spans="1:2">
      <c r="A487" t="s">
        <v>880</v>
      </c>
      <c r="B487" t="s">
        <v>1707</v>
      </c>
    </row>
    <row r="488" spans="1:2">
      <c r="A488" t="s">
        <v>882</v>
      </c>
      <c r="B488" t="s">
        <v>1708</v>
      </c>
    </row>
    <row r="489" spans="1:2">
      <c r="A489" t="s">
        <v>884</v>
      </c>
      <c r="B489" t="s">
        <v>1709</v>
      </c>
    </row>
    <row r="490" spans="1:2">
      <c r="A490" t="s">
        <v>886</v>
      </c>
      <c r="B490" t="s">
        <v>1710</v>
      </c>
    </row>
    <row r="491" spans="1:2">
      <c r="A491" t="s">
        <v>888</v>
      </c>
      <c r="B491" t="s">
        <v>1711</v>
      </c>
    </row>
    <row r="492" spans="1:2">
      <c r="A492" t="s">
        <v>890</v>
      </c>
      <c r="B492" t="s">
        <v>1712</v>
      </c>
    </row>
    <row r="493" spans="1:2">
      <c r="A493" t="s">
        <v>892</v>
      </c>
      <c r="B493" t="s">
        <v>1713</v>
      </c>
    </row>
    <row r="494" spans="1:2">
      <c r="A494" t="s">
        <v>894</v>
      </c>
      <c r="B494" t="s">
        <v>1714</v>
      </c>
    </row>
    <row r="495" spans="1:2">
      <c r="A495" t="s">
        <v>896</v>
      </c>
      <c r="B495" t="s">
        <v>1715</v>
      </c>
    </row>
    <row r="496" spans="1:2">
      <c r="A496" t="s">
        <v>898</v>
      </c>
      <c r="B496" t="s">
        <v>1716</v>
      </c>
    </row>
    <row r="497" spans="1:2">
      <c r="A497" t="s">
        <v>900</v>
      </c>
      <c r="B497" t="s">
        <v>1717</v>
      </c>
    </row>
    <row r="498" spans="1:2">
      <c r="A498" t="s">
        <v>902</v>
      </c>
      <c r="B498" t="s">
        <v>1718</v>
      </c>
    </row>
    <row r="499" spans="1:2">
      <c r="A499" t="s">
        <v>904</v>
      </c>
      <c r="B499" t="s">
        <v>1719</v>
      </c>
    </row>
    <row r="500" spans="1:2">
      <c r="A500" t="s">
        <v>906</v>
      </c>
      <c r="B500" t="s">
        <v>1720</v>
      </c>
    </row>
    <row r="501" spans="1:2">
      <c r="A501" t="s">
        <v>908</v>
      </c>
      <c r="B501" t="s">
        <v>1721</v>
      </c>
    </row>
    <row r="502" spans="1:2">
      <c r="A502" t="s">
        <v>910</v>
      </c>
      <c r="B502" t="s">
        <v>1722</v>
      </c>
    </row>
    <row r="503" spans="1:2">
      <c r="A503" t="s">
        <v>912</v>
      </c>
      <c r="B503" t="s">
        <v>1723</v>
      </c>
    </row>
    <row r="504" spans="1:2">
      <c r="A504" t="s">
        <v>914</v>
      </c>
      <c r="B504" t="s">
        <v>1724</v>
      </c>
    </row>
    <row r="505" spans="1:2">
      <c r="A505" t="s">
        <v>916</v>
      </c>
      <c r="B505" t="s">
        <v>1725</v>
      </c>
    </row>
    <row r="506" spans="1:2">
      <c r="A506" t="s">
        <v>918</v>
      </c>
      <c r="B506" t="s">
        <v>1726</v>
      </c>
    </row>
    <row r="507" spans="1:2">
      <c r="A507" t="s">
        <v>920</v>
      </c>
      <c r="B507" t="s">
        <v>1727</v>
      </c>
    </row>
    <row r="508" spans="1:2">
      <c r="A508" t="s">
        <v>922</v>
      </c>
      <c r="B508" t="s">
        <v>1728</v>
      </c>
    </row>
    <row r="509" spans="1:2">
      <c r="A509" t="s">
        <v>924</v>
      </c>
      <c r="B509" t="s">
        <v>1729</v>
      </c>
    </row>
    <row r="510" spans="1:2">
      <c r="A510" t="s">
        <v>926</v>
      </c>
      <c r="B510" t="s">
        <v>1730</v>
      </c>
    </row>
    <row r="511" spans="1:2">
      <c r="A511" t="s">
        <v>928</v>
      </c>
      <c r="B511" t="s">
        <v>1731</v>
      </c>
    </row>
    <row r="512" spans="1:2">
      <c r="A512" t="s">
        <v>930</v>
      </c>
      <c r="B512" t="s">
        <v>1732</v>
      </c>
    </row>
    <row r="513" spans="1:2">
      <c r="A513" t="s">
        <v>932</v>
      </c>
      <c r="B513" t="s">
        <v>1733</v>
      </c>
    </row>
    <row r="514" spans="1:2">
      <c r="A514" t="s">
        <v>934</v>
      </c>
      <c r="B514" t="s">
        <v>1734</v>
      </c>
    </row>
    <row r="515" spans="1:2">
      <c r="A515" t="s">
        <v>936</v>
      </c>
      <c r="B515" t="s">
        <v>1735</v>
      </c>
    </row>
    <row r="516" spans="1:2">
      <c r="A516" t="s">
        <v>938</v>
      </c>
      <c r="B516" t="s">
        <v>1736</v>
      </c>
    </row>
    <row r="517" spans="1:2">
      <c r="A517" t="s">
        <v>940</v>
      </c>
      <c r="B517" t="s">
        <v>1737</v>
      </c>
    </row>
    <row r="518" spans="1:2">
      <c r="A518" t="s">
        <v>942</v>
      </c>
      <c r="B518" t="s">
        <v>1738</v>
      </c>
    </row>
    <row r="519" spans="1:2">
      <c r="A519" t="s">
        <v>944</v>
      </c>
      <c r="B519" t="s">
        <v>1739</v>
      </c>
    </row>
    <row r="520" spans="1:2">
      <c r="A520" t="s">
        <v>946</v>
      </c>
      <c r="B520" t="s">
        <v>1740</v>
      </c>
    </row>
    <row r="521" spans="1:2">
      <c r="A521" t="s">
        <v>948</v>
      </c>
      <c r="B521" t="s">
        <v>1741</v>
      </c>
    </row>
    <row r="522" spans="1:2">
      <c r="A522" t="s">
        <v>2454</v>
      </c>
      <c r="B522" t="s">
        <v>2453</v>
      </c>
    </row>
    <row r="523" spans="1:2">
      <c r="A523" t="s">
        <v>950</v>
      </c>
      <c r="B523" t="s">
        <v>1742</v>
      </c>
    </row>
    <row r="524" spans="1:2">
      <c r="A524" t="s">
        <v>952</v>
      </c>
      <c r="B524" t="s">
        <v>1743</v>
      </c>
    </row>
    <row r="525" spans="1:2">
      <c r="A525" t="s">
        <v>2456</v>
      </c>
      <c r="B525" t="s">
        <v>2455</v>
      </c>
    </row>
    <row r="526" spans="1:2">
      <c r="A526" t="s">
        <v>954</v>
      </c>
      <c r="B526" t="s">
        <v>1744</v>
      </c>
    </row>
    <row r="527" spans="1:2">
      <c r="A527" t="s">
        <v>956</v>
      </c>
      <c r="B527" t="s">
        <v>1745</v>
      </c>
    </row>
    <row r="528" spans="1:2">
      <c r="A528" t="s">
        <v>958</v>
      </c>
      <c r="B528" t="s">
        <v>1746</v>
      </c>
    </row>
    <row r="529" spans="1:2">
      <c r="A529" t="s">
        <v>960</v>
      </c>
      <c r="B529" t="s">
        <v>1747</v>
      </c>
    </row>
    <row r="530" spans="1:2">
      <c r="A530" t="s">
        <v>962</v>
      </c>
      <c r="B530" t="s">
        <v>1748</v>
      </c>
    </row>
    <row r="531" spans="1:2">
      <c r="A531" t="s">
        <v>964</v>
      </c>
      <c r="B531" t="s">
        <v>1749</v>
      </c>
    </row>
    <row r="532" spans="1:2">
      <c r="A532" t="s">
        <v>966</v>
      </c>
      <c r="B532" t="s">
        <v>1750</v>
      </c>
    </row>
    <row r="533" spans="1:2">
      <c r="A533" t="s">
        <v>968</v>
      </c>
      <c r="B533" t="s">
        <v>1751</v>
      </c>
    </row>
    <row r="534" spans="1:2">
      <c r="A534" t="s">
        <v>970</v>
      </c>
      <c r="B534" t="s">
        <v>1752</v>
      </c>
    </row>
    <row r="535" spans="1:2">
      <c r="A535" t="s">
        <v>972</v>
      </c>
      <c r="B535" t="s">
        <v>1753</v>
      </c>
    </row>
    <row r="536" spans="1:2">
      <c r="A536" t="s">
        <v>974</v>
      </c>
      <c r="B536" t="s">
        <v>1754</v>
      </c>
    </row>
    <row r="537" spans="1:2">
      <c r="A537" t="s">
        <v>976</v>
      </c>
      <c r="B537" t="s">
        <v>1755</v>
      </c>
    </row>
    <row r="538" spans="1:2">
      <c r="A538" t="s">
        <v>978</v>
      </c>
      <c r="B538" t="s">
        <v>1756</v>
      </c>
    </row>
    <row r="539" spans="1:2">
      <c r="A539" t="s">
        <v>980</v>
      </c>
      <c r="B539" t="s">
        <v>1757</v>
      </c>
    </row>
    <row r="540" spans="1:2">
      <c r="A540" t="s">
        <v>982</v>
      </c>
      <c r="B540" t="s">
        <v>1758</v>
      </c>
    </row>
    <row r="541" spans="1:2">
      <c r="A541" t="s">
        <v>984</v>
      </c>
      <c r="B541" t="s">
        <v>1759</v>
      </c>
    </row>
    <row r="542" spans="1:2">
      <c r="A542" t="s">
        <v>986</v>
      </c>
      <c r="B542" t="s">
        <v>1760</v>
      </c>
    </row>
    <row r="543" spans="1:2">
      <c r="A543" t="s">
        <v>988</v>
      </c>
      <c r="B543" t="s">
        <v>1761</v>
      </c>
    </row>
    <row r="544" spans="1:2">
      <c r="A544" t="s">
        <v>990</v>
      </c>
      <c r="B544" t="s">
        <v>1762</v>
      </c>
    </row>
    <row r="545" spans="1:2">
      <c r="A545" t="s">
        <v>992</v>
      </c>
      <c r="B545" t="s">
        <v>1763</v>
      </c>
    </row>
    <row r="546" spans="1:2">
      <c r="A546" t="s">
        <v>2458</v>
      </c>
      <c r="B546" t="s">
        <v>2457</v>
      </c>
    </row>
    <row r="547" spans="1:2">
      <c r="A547" t="s">
        <v>994</v>
      </c>
      <c r="B547" t="s">
        <v>1764</v>
      </c>
    </row>
    <row r="548" spans="1:2">
      <c r="A548" t="s">
        <v>996</v>
      </c>
      <c r="B548" t="s">
        <v>1765</v>
      </c>
    </row>
    <row r="549" spans="1:2">
      <c r="A549" t="s">
        <v>998</v>
      </c>
      <c r="B549" t="s">
        <v>1766</v>
      </c>
    </row>
    <row r="550" spans="1:2">
      <c r="A550" t="s">
        <v>1000</v>
      </c>
      <c r="B550" t="s">
        <v>1767</v>
      </c>
    </row>
    <row r="551" spans="1:2">
      <c r="A551" t="s">
        <v>1002</v>
      </c>
      <c r="B551" t="s">
        <v>1768</v>
      </c>
    </row>
    <row r="552" spans="1:2">
      <c r="A552" t="s">
        <v>1004</v>
      </c>
      <c r="B552" t="s">
        <v>1769</v>
      </c>
    </row>
    <row r="553" spans="1:2">
      <c r="A553" t="s">
        <v>1006</v>
      </c>
      <c r="B553" t="s">
        <v>1770</v>
      </c>
    </row>
    <row r="554" spans="1:2">
      <c r="A554" t="s">
        <v>1008</v>
      </c>
      <c r="B554" t="s">
        <v>1771</v>
      </c>
    </row>
    <row r="555" spans="1:2">
      <c r="A555" t="s">
        <v>1010</v>
      </c>
      <c r="B555" t="s">
        <v>1772</v>
      </c>
    </row>
    <row r="556" spans="1:2">
      <c r="A556" t="s">
        <v>1012</v>
      </c>
      <c r="B556" t="s">
        <v>1773</v>
      </c>
    </row>
    <row r="557" spans="1:2">
      <c r="A557" t="s">
        <v>1014</v>
      </c>
      <c r="B557" t="s">
        <v>1774</v>
      </c>
    </row>
    <row r="558" spans="1:2">
      <c r="A558" t="s">
        <v>1016</v>
      </c>
      <c r="B558" t="s">
        <v>1775</v>
      </c>
    </row>
    <row r="559" spans="1:2">
      <c r="A559" t="s">
        <v>1018</v>
      </c>
      <c r="B559" t="s">
        <v>1776</v>
      </c>
    </row>
    <row r="560" spans="1:2">
      <c r="A560" t="s">
        <v>1020</v>
      </c>
      <c r="B560" t="s">
        <v>1777</v>
      </c>
    </row>
    <row r="561" spans="1:2">
      <c r="A561" t="s">
        <v>1022</v>
      </c>
      <c r="B561" t="s">
        <v>1778</v>
      </c>
    </row>
    <row r="562" spans="1:2">
      <c r="A562" t="s">
        <v>1024</v>
      </c>
      <c r="B562" t="s">
        <v>1779</v>
      </c>
    </row>
    <row r="563" spans="1:2">
      <c r="A563" t="s">
        <v>1026</v>
      </c>
      <c r="B563" t="s">
        <v>1780</v>
      </c>
    </row>
    <row r="564" spans="1:2">
      <c r="A564" t="s">
        <v>1028</v>
      </c>
      <c r="B564" t="s">
        <v>1781</v>
      </c>
    </row>
    <row r="565" spans="1:2">
      <c r="A565" t="s">
        <v>1030</v>
      </c>
      <c r="B565" t="s">
        <v>1782</v>
      </c>
    </row>
    <row r="566" spans="1:2">
      <c r="A566" t="s">
        <v>1032</v>
      </c>
      <c r="B566" t="s">
        <v>1783</v>
      </c>
    </row>
    <row r="567" spans="1:2">
      <c r="A567" t="s">
        <v>1034</v>
      </c>
      <c r="B567" t="s">
        <v>1784</v>
      </c>
    </row>
    <row r="568" spans="1:2">
      <c r="A568" t="s">
        <v>1036</v>
      </c>
      <c r="B568" t="s">
        <v>1785</v>
      </c>
    </row>
    <row r="569" spans="1:2">
      <c r="A569" t="s">
        <v>1038</v>
      </c>
      <c r="B569" t="s">
        <v>1786</v>
      </c>
    </row>
    <row r="570" spans="1:2">
      <c r="A570" t="s">
        <v>1040</v>
      </c>
      <c r="B570" t="s">
        <v>1787</v>
      </c>
    </row>
    <row r="571" spans="1:2">
      <c r="A571" t="s">
        <v>1042</v>
      </c>
      <c r="B571" t="s">
        <v>1788</v>
      </c>
    </row>
    <row r="572" spans="1:2">
      <c r="A572" t="s">
        <v>1044</v>
      </c>
      <c r="B572" t="s">
        <v>1789</v>
      </c>
    </row>
    <row r="573" spans="1:2">
      <c r="A573" t="s">
        <v>1046</v>
      </c>
      <c r="B573" t="s">
        <v>1790</v>
      </c>
    </row>
    <row r="574" spans="1:2">
      <c r="A574" t="s">
        <v>1048</v>
      </c>
      <c r="B574" t="s">
        <v>1791</v>
      </c>
    </row>
    <row r="575" spans="1:2">
      <c r="A575" t="s">
        <v>1050</v>
      </c>
      <c r="B575" t="s">
        <v>1792</v>
      </c>
    </row>
    <row r="576" spans="1:2">
      <c r="A576" t="s">
        <v>1052</v>
      </c>
      <c r="B576" t="s">
        <v>1793</v>
      </c>
    </row>
    <row r="577" spans="1:2">
      <c r="A577" t="s">
        <v>1054</v>
      </c>
      <c r="B577" t="s">
        <v>1794</v>
      </c>
    </row>
    <row r="578" spans="1:2">
      <c r="A578" t="s">
        <v>1056</v>
      </c>
      <c r="B578" t="s">
        <v>1795</v>
      </c>
    </row>
    <row r="579" spans="1:2">
      <c r="A579" t="s">
        <v>1058</v>
      </c>
      <c r="B579" t="s">
        <v>1796</v>
      </c>
    </row>
    <row r="580" spans="1:2">
      <c r="A580" t="s">
        <v>1060</v>
      </c>
      <c r="B580" t="s">
        <v>1797</v>
      </c>
    </row>
    <row r="581" spans="1:2">
      <c r="A581" t="s">
        <v>1062</v>
      </c>
      <c r="B581" t="s">
        <v>1798</v>
      </c>
    </row>
    <row r="582" spans="1:2">
      <c r="A582" t="s">
        <v>1064</v>
      </c>
      <c r="B582" t="s">
        <v>1799</v>
      </c>
    </row>
    <row r="583" spans="1:2">
      <c r="A583" t="s">
        <v>1066</v>
      </c>
      <c r="B583" t="s">
        <v>1800</v>
      </c>
    </row>
    <row r="584" spans="1:2">
      <c r="A584" t="s">
        <v>1068</v>
      </c>
      <c r="B584" t="s">
        <v>1801</v>
      </c>
    </row>
    <row r="585" spans="1:2">
      <c r="A585" t="s">
        <v>1070</v>
      </c>
      <c r="B585" t="s">
        <v>1802</v>
      </c>
    </row>
    <row r="586" spans="1:2">
      <c r="A586" t="s">
        <v>1072</v>
      </c>
      <c r="B586" t="s">
        <v>1803</v>
      </c>
    </row>
    <row r="587" spans="1:2">
      <c r="A587" t="s">
        <v>1074</v>
      </c>
      <c r="B587" t="s">
        <v>1804</v>
      </c>
    </row>
    <row r="588" spans="1:2">
      <c r="A588" t="s">
        <v>1076</v>
      </c>
      <c r="B588" t="s">
        <v>1805</v>
      </c>
    </row>
    <row r="589" spans="1:2">
      <c r="A589" t="s">
        <v>1078</v>
      </c>
      <c r="B589" t="s">
        <v>1806</v>
      </c>
    </row>
    <row r="590" spans="1:2">
      <c r="A590" t="s">
        <v>1080</v>
      </c>
      <c r="B590" t="s">
        <v>1807</v>
      </c>
    </row>
    <row r="591" spans="1:2">
      <c r="A591" t="s">
        <v>1082</v>
      </c>
      <c r="B591" t="s">
        <v>1808</v>
      </c>
    </row>
    <row r="592" spans="1:2">
      <c r="A592" t="s">
        <v>1084</v>
      </c>
      <c r="B592" t="s">
        <v>1809</v>
      </c>
    </row>
    <row r="593" spans="1:2">
      <c r="A593" t="s">
        <v>1086</v>
      </c>
      <c r="B593" t="s">
        <v>1810</v>
      </c>
    </row>
    <row r="594" spans="1:2">
      <c r="A594" t="s">
        <v>1088</v>
      </c>
      <c r="B594" t="s">
        <v>1811</v>
      </c>
    </row>
    <row r="595" spans="1:2">
      <c r="A595" t="s">
        <v>2460</v>
      </c>
      <c r="B595" t="s">
        <v>2459</v>
      </c>
    </row>
    <row r="596" spans="1:2">
      <c r="A596" t="s">
        <v>1090</v>
      </c>
      <c r="B596" t="s">
        <v>1812</v>
      </c>
    </row>
    <row r="597" spans="1:2">
      <c r="A597" t="s">
        <v>2462</v>
      </c>
      <c r="B597" t="s">
        <v>2461</v>
      </c>
    </row>
    <row r="598" spans="1:2">
      <c r="A598" t="s">
        <v>1092</v>
      </c>
      <c r="B598" t="s">
        <v>1813</v>
      </c>
    </row>
    <row r="599" spans="1:2">
      <c r="A599" t="s">
        <v>1094</v>
      </c>
      <c r="B599" t="s">
        <v>1814</v>
      </c>
    </row>
    <row r="600" spans="1:2">
      <c r="A600" t="s">
        <v>1096</v>
      </c>
      <c r="B600" t="s">
        <v>1815</v>
      </c>
    </row>
    <row r="601" spans="1:2">
      <c r="A601" t="s">
        <v>1098</v>
      </c>
      <c r="B601" t="s">
        <v>1816</v>
      </c>
    </row>
    <row r="602" spans="1:2">
      <c r="A602" t="s">
        <v>1100</v>
      </c>
      <c r="B602" t="s">
        <v>1817</v>
      </c>
    </row>
    <row r="603" spans="1:2">
      <c r="A603" t="s">
        <v>1102</v>
      </c>
      <c r="B603" t="s">
        <v>1818</v>
      </c>
    </row>
    <row r="604" spans="1:2">
      <c r="A604" t="s">
        <v>1104</v>
      </c>
      <c r="B604" t="s">
        <v>1819</v>
      </c>
    </row>
    <row r="605" spans="1:2">
      <c r="A605" t="s">
        <v>1106</v>
      </c>
      <c r="B605" t="s">
        <v>1820</v>
      </c>
    </row>
    <row r="606" spans="1:2">
      <c r="A606" t="s">
        <v>2464</v>
      </c>
      <c r="B606" t="s">
        <v>2463</v>
      </c>
    </row>
    <row r="607" spans="1:2">
      <c r="A607" t="s">
        <v>1108</v>
      </c>
      <c r="B607" t="s">
        <v>1821</v>
      </c>
    </row>
    <row r="608" spans="1:2">
      <c r="A608" t="s">
        <v>1110</v>
      </c>
      <c r="B608" t="s">
        <v>1822</v>
      </c>
    </row>
    <row r="609" spans="1:2">
      <c r="A609" t="s">
        <v>1112</v>
      </c>
      <c r="B609" t="s">
        <v>1823</v>
      </c>
    </row>
    <row r="610" spans="1:2">
      <c r="A610" t="s">
        <v>1114</v>
      </c>
      <c r="B610" t="s">
        <v>1824</v>
      </c>
    </row>
    <row r="611" spans="1:2">
      <c r="A611" t="s">
        <v>1116</v>
      </c>
      <c r="B611" t="s">
        <v>1825</v>
      </c>
    </row>
    <row r="612" spans="1:2">
      <c r="A612" t="s">
        <v>1118</v>
      </c>
      <c r="B612" t="s">
        <v>1826</v>
      </c>
    </row>
    <row r="613" spans="1:2">
      <c r="A613" t="s">
        <v>1120</v>
      </c>
      <c r="B613" t="s">
        <v>1827</v>
      </c>
    </row>
    <row r="614" spans="1:2">
      <c r="A614" t="s">
        <v>1122</v>
      </c>
      <c r="B614" t="s">
        <v>1828</v>
      </c>
    </row>
    <row r="615" spans="1:2">
      <c r="A615" t="s">
        <v>1124</v>
      </c>
      <c r="B615" t="s">
        <v>1829</v>
      </c>
    </row>
    <row r="616" spans="1:2">
      <c r="A616" t="s">
        <v>1126</v>
      </c>
      <c r="B616" t="s">
        <v>1830</v>
      </c>
    </row>
    <row r="617" spans="1:2">
      <c r="A617" t="s">
        <v>1128</v>
      </c>
      <c r="B617" t="s">
        <v>1831</v>
      </c>
    </row>
    <row r="618" spans="1:2">
      <c r="A618" t="s">
        <v>1130</v>
      </c>
      <c r="B618" t="s">
        <v>1832</v>
      </c>
    </row>
    <row r="619" spans="1:2">
      <c r="A619" t="s">
        <v>1132</v>
      </c>
      <c r="B619" t="s">
        <v>1833</v>
      </c>
    </row>
    <row r="620" spans="1:2">
      <c r="A620" t="s">
        <v>1134</v>
      </c>
      <c r="B620" t="s">
        <v>1834</v>
      </c>
    </row>
    <row r="621" spans="1:2">
      <c r="A621" t="s">
        <v>1136</v>
      </c>
      <c r="B621" t="s">
        <v>1835</v>
      </c>
    </row>
    <row r="622" spans="1:2">
      <c r="A622" t="s">
        <v>1138</v>
      </c>
      <c r="B622" t="s">
        <v>1836</v>
      </c>
    </row>
    <row r="623" spans="1:2">
      <c r="A623" t="s">
        <v>1140</v>
      </c>
      <c r="B623" t="s">
        <v>1837</v>
      </c>
    </row>
    <row r="624" spans="1:2">
      <c r="A624" t="s">
        <v>1142</v>
      </c>
      <c r="B624" t="s">
        <v>1838</v>
      </c>
    </row>
    <row r="625" spans="1:2">
      <c r="A625" t="s">
        <v>1144</v>
      </c>
      <c r="B625" t="s">
        <v>1839</v>
      </c>
    </row>
    <row r="626" spans="1:2">
      <c r="A626" t="s">
        <v>1146</v>
      </c>
      <c r="B626" t="s">
        <v>1840</v>
      </c>
    </row>
    <row r="627" spans="1:2">
      <c r="A627" t="s">
        <v>1148</v>
      </c>
      <c r="B627" t="s">
        <v>1841</v>
      </c>
    </row>
    <row r="628" spans="1:2">
      <c r="A628" t="s">
        <v>1150</v>
      </c>
      <c r="B628" t="s">
        <v>1842</v>
      </c>
    </row>
    <row r="629" spans="1:2">
      <c r="A629" t="s">
        <v>1152</v>
      </c>
      <c r="B629" t="s">
        <v>1843</v>
      </c>
    </row>
    <row r="630" spans="1:2">
      <c r="A630" t="s">
        <v>1154</v>
      </c>
      <c r="B630" t="s">
        <v>1844</v>
      </c>
    </row>
    <row r="631" spans="1:2">
      <c r="A631" t="s">
        <v>1156</v>
      </c>
      <c r="B631" t="s">
        <v>1845</v>
      </c>
    </row>
    <row r="632" spans="1:2">
      <c r="A632" t="s">
        <v>1158</v>
      </c>
      <c r="B632" t="s">
        <v>1846</v>
      </c>
    </row>
    <row r="633" spans="1:2">
      <c r="A633" t="s">
        <v>1160</v>
      </c>
      <c r="B633" t="s">
        <v>1847</v>
      </c>
    </row>
    <row r="634" spans="1:2">
      <c r="A634" t="s">
        <v>1162</v>
      </c>
      <c r="B634" t="s">
        <v>1848</v>
      </c>
    </row>
    <row r="635" spans="1:2">
      <c r="A635" t="s">
        <v>1164</v>
      </c>
      <c r="B635" t="s">
        <v>1849</v>
      </c>
    </row>
    <row r="636" spans="1:2">
      <c r="A636" t="s">
        <v>1166</v>
      </c>
      <c r="B636" t="s">
        <v>1850</v>
      </c>
    </row>
    <row r="637" spans="1:2">
      <c r="A637" t="s">
        <v>1168</v>
      </c>
      <c r="B637" t="s">
        <v>1851</v>
      </c>
    </row>
    <row r="638" spans="1:2">
      <c r="A638" t="s">
        <v>1170</v>
      </c>
      <c r="B638" t="s">
        <v>1852</v>
      </c>
    </row>
    <row r="639" spans="1:2">
      <c r="A639" t="s">
        <v>1172</v>
      </c>
      <c r="B639" t="s">
        <v>1853</v>
      </c>
    </row>
    <row r="640" spans="1:2">
      <c r="A640" t="s">
        <v>1174</v>
      </c>
      <c r="B640" t="s">
        <v>1854</v>
      </c>
    </row>
    <row r="641" spans="1:2">
      <c r="A641" t="s">
        <v>1176</v>
      </c>
      <c r="B641" t="s">
        <v>1855</v>
      </c>
    </row>
    <row r="642" spans="1:2">
      <c r="A642" t="s">
        <v>1178</v>
      </c>
      <c r="B642" t="s">
        <v>1856</v>
      </c>
    </row>
    <row r="643" spans="1:2">
      <c r="A643" t="s">
        <v>1180</v>
      </c>
      <c r="B643" t="s">
        <v>1857</v>
      </c>
    </row>
    <row r="644" spans="1:2">
      <c r="A644" t="s">
        <v>1182</v>
      </c>
      <c r="B644" t="s">
        <v>1858</v>
      </c>
    </row>
    <row r="645" spans="1:2">
      <c r="A645" t="s">
        <v>1184</v>
      </c>
      <c r="B645" t="s">
        <v>1859</v>
      </c>
    </row>
    <row r="646" spans="1:2">
      <c r="A646" t="s">
        <v>1186</v>
      </c>
      <c r="B646" t="s">
        <v>1860</v>
      </c>
    </row>
    <row r="647" spans="1:2">
      <c r="A647" t="s">
        <v>1188</v>
      </c>
      <c r="B647" t="s">
        <v>1861</v>
      </c>
    </row>
    <row r="648" spans="1:2">
      <c r="A648" t="s">
        <v>1190</v>
      </c>
      <c r="B648" t="s">
        <v>1862</v>
      </c>
    </row>
    <row r="649" spans="1:2">
      <c r="A649" t="s">
        <v>1192</v>
      </c>
      <c r="B649" t="s">
        <v>1863</v>
      </c>
    </row>
    <row r="650" spans="1:2">
      <c r="A650" t="s">
        <v>1194</v>
      </c>
      <c r="B650" t="s">
        <v>1864</v>
      </c>
    </row>
    <row r="651" spans="1:2">
      <c r="A651" t="s">
        <v>1196</v>
      </c>
      <c r="B651" t="s">
        <v>1865</v>
      </c>
    </row>
    <row r="652" spans="1:2">
      <c r="A652" t="s">
        <v>1198</v>
      </c>
      <c r="B652" t="s">
        <v>1866</v>
      </c>
    </row>
    <row r="653" spans="1:2">
      <c r="A653" t="s">
        <v>1200</v>
      </c>
      <c r="B653" t="s">
        <v>1867</v>
      </c>
    </row>
    <row r="654" spans="1:2">
      <c r="A654" t="s">
        <v>1202</v>
      </c>
      <c r="B654" t="s">
        <v>1868</v>
      </c>
    </row>
    <row r="655" spans="1:2">
      <c r="A655" t="s">
        <v>1204</v>
      </c>
      <c r="B655" t="s">
        <v>1869</v>
      </c>
    </row>
    <row r="656" spans="1:2">
      <c r="A656" t="s">
        <v>1206</v>
      </c>
      <c r="B656" t="s">
        <v>1870</v>
      </c>
    </row>
    <row r="657" spans="1:2">
      <c r="A657" t="s">
        <v>1208</v>
      </c>
      <c r="B657" t="s">
        <v>1871</v>
      </c>
    </row>
    <row r="658" spans="1:2">
      <c r="A658" t="s">
        <v>2466</v>
      </c>
      <c r="B658" t="s">
        <v>2465</v>
      </c>
    </row>
    <row r="659" spans="1:2">
      <c r="A659" t="s">
        <v>1210</v>
      </c>
      <c r="B659" t="s">
        <v>1872</v>
      </c>
    </row>
    <row r="660" spans="1:2">
      <c r="A660" t="s">
        <v>1212</v>
      </c>
      <c r="B660" t="s">
        <v>1873</v>
      </c>
    </row>
    <row r="661" spans="1:2">
      <c r="A661" t="s">
        <v>1214</v>
      </c>
      <c r="B661" t="s">
        <v>1874</v>
      </c>
    </row>
    <row r="662" spans="1:2">
      <c r="A662" t="s">
        <v>1216</v>
      </c>
      <c r="B662" t="s">
        <v>1875</v>
      </c>
    </row>
    <row r="663" spans="1:2">
      <c r="A663" t="s">
        <v>1218</v>
      </c>
      <c r="B663" t="s">
        <v>1876</v>
      </c>
    </row>
    <row r="664" spans="1:2">
      <c r="A664" t="s">
        <v>1220</v>
      </c>
      <c r="B664" t="s">
        <v>1877</v>
      </c>
    </row>
    <row r="665" spans="1:2">
      <c r="A665" t="s">
        <v>1222</v>
      </c>
      <c r="B665" t="s">
        <v>1878</v>
      </c>
    </row>
    <row r="666" spans="1:2">
      <c r="A666" t="s">
        <v>1224</v>
      </c>
      <c r="B666" t="s">
        <v>1879</v>
      </c>
    </row>
    <row r="667" spans="1:2">
      <c r="A667" t="s">
        <v>1226</v>
      </c>
      <c r="B667" t="s">
        <v>1880</v>
      </c>
    </row>
    <row r="668" spans="1:2">
      <c r="A668" t="s">
        <v>1228</v>
      </c>
      <c r="B668" t="s">
        <v>1881</v>
      </c>
    </row>
    <row r="669" spans="1:2">
      <c r="A669" t="s">
        <v>1230</v>
      </c>
      <c r="B669" t="s">
        <v>1882</v>
      </c>
    </row>
    <row r="670" spans="1:2">
      <c r="A670" t="s">
        <v>1232</v>
      </c>
      <c r="B670" t="s">
        <v>1883</v>
      </c>
    </row>
    <row r="671" spans="1:2">
      <c r="A671" t="s">
        <v>1234</v>
      </c>
      <c r="B671" t="s">
        <v>1884</v>
      </c>
    </row>
    <row r="672" spans="1:2">
      <c r="A672" t="s">
        <v>1236</v>
      </c>
      <c r="B672" t="s">
        <v>1885</v>
      </c>
    </row>
    <row r="673" spans="1:2">
      <c r="A673" t="s">
        <v>1238</v>
      </c>
      <c r="B673" t="s">
        <v>1886</v>
      </c>
    </row>
    <row r="674" spans="1:2">
      <c r="A674" t="s">
        <v>1240</v>
      </c>
      <c r="B674" t="s">
        <v>1887</v>
      </c>
    </row>
    <row r="675" spans="1:2">
      <c r="A675" t="s">
        <v>1242</v>
      </c>
      <c r="B675" t="s">
        <v>1888</v>
      </c>
    </row>
    <row r="676" spans="1:2">
      <c r="A676" t="s">
        <v>1244</v>
      </c>
      <c r="B676" t="s">
        <v>1889</v>
      </c>
    </row>
    <row r="677" spans="1:2">
      <c r="A677" t="s">
        <v>1246</v>
      </c>
      <c r="B677" t="s">
        <v>1890</v>
      </c>
    </row>
    <row r="678" spans="1:2">
      <c r="A678" t="s">
        <v>1248</v>
      </c>
      <c r="B678" t="s">
        <v>1891</v>
      </c>
    </row>
    <row r="679" spans="1:2">
      <c r="A679" t="s">
        <v>1250</v>
      </c>
      <c r="B679" t="s">
        <v>1892</v>
      </c>
    </row>
    <row r="680" spans="1:2">
      <c r="A680" t="s">
        <v>1252</v>
      </c>
      <c r="B680" t="s">
        <v>1893</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047878A1F6D774FA244E4805CA91C83" ma:contentTypeVersion="13" ma:contentTypeDescription="Create a new document." ma:contentTypeScope="" ma:versionID="c0aaa62a3731f1e65992200859b290f4">
  <xsd:schema xmlns:xsd="http://www.w3.org/2001/XMLSchema" xmlns:xs="http://www.w3.org/2001/XMLSchema" xmlns:p="http://schemas.microsoft.com/office/2006/metadata/properties" xmlns:ns2="8556b74b-f608-4f00-b474-15eeb07aa725" xmlns:ns3="08070d79-41db-40ac-93d9-3fd8f1a76dba" targetNamespace="http://schemas.microsoft.com/office/2006/metadata/properties" ma:root="true" ma:fieldsID="617bd5f2ef61e651036b7b7c54217a57" ns2:_="" ns3:_="">
    <xsd:import namespace="8556b74b-f608-4f00-b474-15eeb07aa725"/>
    <xsd:import namespace="08070d79-41db-40ac-93d9-3fd8f1a76db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56b74b-f608-4f00-b474-15eeb07aa72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cd55cc88-8759-4377-a5fa-cb97cd7d2a9c"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8070d79-41db-40ac-93d9-3fd8f1a76dba"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ab3dd57c-bf0c-49cb-891a-7ebee3b37672}" ma:internalName="TaxCatchAll" ma:showField="CatchAllData" ma:web="08070d79-41db-40ac-93d9-3fd8f1a76db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1 6 " ? > < D a t a M a s h u p   x m l n s = " h t t p : / / s c h e m a s . m i c r o s o f t . c o m / D a t a M a s h u p " > A A A A A B Q D A A B Q S w M E F A A C A A g A o X k r V h t s + y W k A A A A 9 g A A A B I A H A B D b 2 5 m a W c v U G F j a 2 F n Z S 5 4 b W w g o h g A K K A U A A A A A A A A A A A A A A A A A A A A A A A A A A A A h Y + x D o I w G I R f h X S n L W V R 8 l M G V 0 l M i M a 1 g Y q N 8 G N o s b y b g 4 / k K 4 h R 1 M 3 x 7 r 5 L 7 u 7 X G 2 R j 2 w Q X 3 V v T Y U o i y k m g s e w q g 3 V K B n c I F y S T s F H l S d U 6 m G C 0 y W h N S o 7 O n R P G v P f U x 7 T r a y Y 4 j 9 g + X x f l U b c q N G i d w l K T T 6 v 6 3 y I S d q 8 x U t C I L 2 n M B e X A Z h N y g 1 9 A T H u f 6 Y 8 J q 6 F x Q 6 + l x n B b A J s l s P c H + Q B Q S w M E F A A C A A g A o X k r 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K F 5 K 1 Y o i k e 4 D g A A A B E A A A A T A B w A R m 9 y b X V s Y X M v U 2 V j d G l v b j E u b S C i G A A o o B Q A A A A A A A A A A A A A A A A A A A A A A A A A A A A r T k 0 u y c z P U w i G 0 I b W A F B L A Q I t A B Q A A g A I A K F 5 K 1 Y b b P s l p A A A A P Y A A A A S A A A A A A A A A A A A A A A A A A A A A A B D b 2 5 m a W c v U G F j a 2 F n Z S 5 4 b W x Q S w E C L Q A U A A I A C A C h e S t W D 8 r p q 6 Q A A A D p A A A A E w A A A A A A A A A A A A A A A A D w A A A A W 0 N v b n R l b n R f V H l w Z X N d L n h t b F B L A Q I t A B Q A A g A I A K F 5 K 1 Y o i k e 4 D g A A A B E A A A A T A A A A A A A A A A A A A A A A A O E B A A B G b 3 J t d W x h c y 9 T Z W N 0 a W 9 u M S 5 t U E s F B g A A A A A D A A M A w g A A A D w 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5 4 M D r k L s V T L d G 8 B L 2 P 7 c E A A A A A A I A A A A A A A N m A A D A A A A A E A A A A C p q z k F 4 1 l Y c Z y K y w V H z / 5 Y A A A A A B I A A A K A A A A A Q A A A A i Q G W W I z d G 6 t 3 N w m h k k 6 m k l A A A A C b y B x m I w e G J D T / n N 8 Z C P D P / F B R N B G / 5 g r n C F / A j p 6 G R Q W Q N O 0 2 5 a H o o b W F I e u i U O g g C D z B K N j 3 c m S 3 n B d v d x T v S v 1 u Z H R W E g I b A + A x o h j q Y x Q A A A C r t R t W N Q Y R 7 D T A q s A S a 3 l M N s s S h Q = = < / D a t a M a s h u p > 
</file>

<file path=customXml/item3.xml><?xml version="1.0" encoding="utf-8"?>
<p:properties xmlns:p="http://schemas.microsoft.com/office/2006/metadata/properties" xmlns:xsi="http://www.w3.org/2001/XMLSchema-instance" xmlns:pc="http://schemas.microsoft.com/office/infopath/2007/PartnerControls">
  <documentManagement>
    <TaxCatchAll xmlns="08070d79-41db-40ac-93d9-3fd8f1a76dba" xsi:nil="true"/>
    <lcf76f155ced4ddcb4097134ff3c332f xmlns="8556b74b-f608-4f00-b474-15eeb07aa725">
      <Terms xmlns="http://schemas.microsoft.com/office/infopath/2007/PartnerControls"/>
    </lcf76f155ced4ddcb4097134ff3c332f>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BE30F55-1250-43EE-8AF6-D456B7EE824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56b74b-f608-4f00-b474-15eeb07aa725"/>
    <ds:schemaRef ds:uri="08070d79-41db-40ac-93d9-3fd8f1a76db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6DBAB66-8A99-4E15-9C9E-1E188FE2608B}">
  <ds:schemaRefs>
    <ds:schemaRef ds:uri="http://schemas.microsoft.com/DataMashup"/>
  </ds:schemaRefs>
</ds:datastoreItem>
</file>

<file path=customXml/itemProps3.xml><?xml version="1.0" encoding="utf-8"?>
<ds:datastoreItem xmlns:ds="http://schemas.openxmlformats.org/officeDocument/2006/customXml" ds:itemID="{F5DFF9AF-E1C3-4F9D-AD4C-450ADE3A0547}">
  <ds:schemaRefs>
    <ds:schemaRef ds:uri="http://schemas.microsoft.com/office/2006/metadata/properties"/>
    <ds:schemaRef ds:uri="http://purl.org/dc/elements/1.1/"/>
    <ds:schemaRef ds:uri="http://www.w3.org/XML/1998/namespace"/>
    <ds:schemaRef ds:uri="http://schemas.microsoft.com/office/infopath/2007/PartnerControls"/>
    <ds:schemaRef ds:uri="8556b74b-f608-4f00-b474-15eeb07aa725"/>
    <ds:schemaRef ds:uri="http://purl.org/dc/dcmitype/"/>
    <ds:schemaRef ds:uri="http://schemas.microsoft.com/office/2006/documentManagement/types"/>
    <ds:schemaRef ds:uri="http://schemas.openxmlformats.org/package/2006/metadata/core-properties"/>
    <ds:schemaRef ds:uri="08070d79-41db-40ac-93d9-3fd8f1a76dba"/>
    <ds:schemaRef ds:uri="http://purl.org/dc/terms/"/>
  </ds:schemaRefs>
</ds:datastoreItem>
</file>

<file path=customXml/itemProps4.xml><?xml version="1.0" encoding="utf-8"?>
<ds:datastoreItem xmlns:ds="http://schemas.openxmlformats.org/officeDocument/2006/customXml" ds:itemID="{6631D5FF-C6E3-4639-9672-4EF9FA09061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20</vt:i4>
      </vt:variant>
    </vt:vector>
  </HeadingPairs>
  <TitlesOfParts>
    <vt:vector size="33" baseType="lpstr">
      <vt:lpstr>About</vt:lpstr>
      <vt:lpstr>Inputs</vt:lpstr>
      <vt:lpstr>Readme</vt:lpstr>
      <vt:lpstr>Racial Composition</vt:lpstr>
      <vt:lpstr>Cost Burden</vt:lpstr>
      <vt:lpstr>Rental Affordability</vt:lpstr>
      <vt:lpstr>Income</vt:lpstr>
      <vt:lpstr>Tenure</vt:lpstr>
      <vt:lpstr>GEOID</vt:lpstr>
      <vt:lpstr>Census Places</vt:lpstr>
      <vt:lpstr>Census Counties</vt:lpstr>
      <vt:lpstr>CHAS (variable list)</vt:lpstr>
      <vt:lpstr>CHAS (metadata)</vt:lpstr>
      <vt:lpstr>City</vt:lpstr>
      <vt:lpstr>City_label</vt:lpstr>
      <vt:lpstr>County</vt:lpstr>
      <vt:lpstr>County_label</vt:lpstr>
      <vt:lpstr>GEOID_City</vt:lpstr>
      <vt:lpstr>GEOID_City_CHAS</vt:lpstr>
      <vt:lpstr>GEOID_County</vt:lpstr>
      <vt:lpstr>GEOID_County_CHAS</vt:lpstr>
      <vt:lpstr>MOE_Threshold</vt:lpstr>
      <vt:lpstr>Place_ACS</vt:lpstr>
      <vt:lpstr>'Cost Burden'!Print_Area</vt:lpstr>
      <vt:lpstr>Income!Print_Area</vt:lpstr>
      <vt:lpstr>'Racial Composition'!Print_Area</vt:lpstr>
      <vt:lpstr>Readme!Print_Area</vt:lpstr>
      <vt:lpstr>'Rental Affordability'!Print_Area</vt:lpstr>
      <vt:lpstr>Tenure!Print_Area</vt:lpstr>
      <vt:lpstr>WA_CDPs_Range</vt:lpstr>
      <vt:lpstr>WA_Counties_Range</vt:lpstr>
      <vt:lpstr>'Census Counties'!WA_places</vt:lpstr>
      <vt:lpstr>WA_places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 Silver</dc:creator>
  <cp:lastModifiedBy>Williams, Courtney (COM)</cp:lastModifiedBy>
  <cp:lastPrinted>2023-03-16T00:31:57Z</cp:lastPrinted>
  <dcterms:created xsi:type="dcterms:W3CDTF">2017-08-09T01:00:49Z</dcterms:created>
  <dcterms:modified xsi:type="dcterms:W3CDTF">2024-06-03T17:16:05Z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0x010100400F57CBF681FC4A8510D23F84C1EE1E</vt:lpwstr>
  </property>
</Properties>
</file>