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Z36" i="283" l="1"/>
  <c r="L11" i="283" s="1"/>
  <c r="AG23" i="283"/>
  <c r="Z11" i="283"/>
  <c r="AG11" i="283" s="1"/>
  <c r="L12" i="283"/>
  <c r="H14" i="282"/>
  <c r="AH17" i="282"/>
  <c r="AI17" i="282" s="1"/>
  <c r="AR100" i="297"/>
  <c r="V83" i="283"/>
  <c r="V80" i="283"/>
  <c r="AB90" i="297"/>
  <c r="AM99" i="297"/>
  <c r="T110" i="283"/>
  <c r="K21" i="283"/>
  <c r="AS52" i="297"/>
  <c r="H21" i="283"/>
  <c r="AE36" i="283"/>
  <c r="AM74" i="282"/>
  <c r="AN74" i="282" s="1"/>
  <c r="Z108" i="283"/>
  <c r="AM69" i="282"/>
  <c r="AG36" i="283"/>
  <c r="L21" i="283"/>
  <c r="AF89" i="297"/>
  <c r="X13" i="283"/>
  <c r="J14" i="283"/>
  <c r="U56" i="283"/>
  <c r="G18" i="283" s="1"/>
  <c r="AI34" i="283"/>
  <c r="AF34" i="283"/>
  <c r="G19" i="283"/>
  <c r="AM54" i="297"/>
  <c r="W86" i="283"/>
  <c r="V56" i="283"/>
  <c r="AE39" i="283" s="1"/>
  <c r="AE34" i="283"/>
  <c r="H19" i="283"/>
  <c r="AL38" i="282"/>
  <c r="AL27" i="282"/>
  <c r="AN14" i="282"/>
  <c r="L12" i="282"/>
  <c r="AN54" i="297"/>
  <c r="T108" i="283"/>
  <c r="AE93" i="297"/>
  <c r="AM73" i="282"/>
  <c r="AO99" i="297"/>
  <c r="AR54" i="297"/>
  <c r="AJ25" i="283"/>
  <c r="AA33" i="283"/>
  <c r="AK25" i="283" s="1"/>
  <c r="T13" i="283"/>
  <c r="AJ13" i="283" s="1"/>
  <c r="F14" i="283"/>
  <c r="AQ55" i="297"/>
  <c r="AQ52" i="297"/>
  <c r="X86" i="283"/>
  <c r="AG71" i="282"/>
  <c r="K14" i="282"/>
  <c r="AM17" i="282"/>
  <c r="AK30" i="282"/>
  <c r="K17" i="282"/>
  <c r="AG67" i="282"/>
  <c r="AH67" i="282" s="1"/>
  <c r="AK39" i="282"/>
  <c r="AM13" i="282"/>
  <c r="AM39" i="282" s="1"/>
  <c r="Z109" i="283"/>
  <c r="L17" i="282"/>
  <c r="AL39" i="282"/>
  <c r="AN13" i="282"/>
  <c r="AN39" i="282" s="1"/>
  <c r="AL30" i="282"/>
  <c r="AM72" i="282"/>
  <c r="AG35" i="283"/>
  <c r="L20" i="283"/>
  <c r="L14" i="282"/>
  <c r="AN17" i="282"/>
  <c r="AO53" i="297"/>
  <c r="AM52" i="297"/>
  <c r="AU47" i="297"/>
  <c r="K16" i="282"/>
  <c r="AG73" i="282"/>
  <c r="AM19" i="282"/>
  <c r="AG56" i="282"/>
  <c r="V110" i="283"/>
  <c r="AM98" i="297"/>
  <c r="AU93" i="297"/>
  <c r="AM56" i="282"/>
  <c r="K17" i="283"/>
  <c r="AP102" i="297"/>
  <c r="AE92" i="297"/>
  <c r="U109" i="283"/>
  <c r="F11" i="284"/>
  <c r="AC35" i="284"/>
  <c r="AM55" i="282"/>
  <c r="AN55" i="282" s="1"/>
  <c r="I14" i="283"/>
  <c r="W13" i="283"/>
  <c r="AH25" i="283"/>
  <c r="H16" i="282"/>
  <c r="AH19" i="282"/>
  <c r="AI19" i="282" s="1"/>
  <c r="AM57" i="282"/>
  <c r="X109" i="283"/>
  <c r="AK29" i="282"/>
  <c r="K10" i="282"/>
  <c r="AG69" i="282"/>
  <c r="AM15" i="282"/>
  <c r="AU38" i="297"/>
  <c r="AU43" i="297"/>
  <c r="K19" i="283"/>
  <c r="Y56" i="283"/>
  <c r="K18" i="283" s="1"/>
  <c r="AN20" i="282"/>
  <c r="AN37" i="282" s="1"/>
  <c r="L13" i="282"/>
  <c r="AL37" i="282"/>
  <c r="AL28" i="282"/>
  <c r="AG55" i="282"/>
  <c r="AH55" i="282" s="1"/>
  <c r="AU92" i="297"/>
  <c r="AT102" i="297"/>
  <c r="AG93" i="297"/>
  <c r="Y104" i="283"/>
  <c r="Y107" i="283"/>
  <c r="T85" i="283"/>
  <c r="Y85" i="283"/>
  <c r="X85" i="283"/>
  <c r="AE29" i="282"/>
  <c r="AG15" i="282"/>
  <c r="G10" i="282"/>
  <c r="X56" i="283"/>
  <c r="J18" i="283" s="1"/>
  <c r="J19" i="283"/>
  <c r="V85" i="283"/>
  <c r="AG18" i="282"/>
  <c r="G15" i="282"/>
  <c r="V11" i="283"/>
  <c r="AE11" i="283" s="1"/>
  <c r="AE23" i="283"/>
  <c r="H12" i="283"/>
  <c r="V36" i="283"/>
  <c r="H11" i="283" s="1"/>
  <c r="AF37" i="282"/>
  <c r="AF28" i="282"/>
  <c r="H13" i="282"/>
  <c r="AH20" i="282"/>
  <c r="AH37" i="282" s="1"/>
  <c r="AG24" i="283"/>
  <c r="Z12" i="283"/>
  <c r="AG12" i="283" s="1"/>
  <c r="L13" i="283"/>
  <c r="AU85" i="297"/>
  <c r="AR102" i="297"/>
  <c r="Z80" i="283"/>
  <c r="Z83" i="283"/>
  <c r="AD90" i="297"/>
  <c r="AN19" i="282"/>
  <c r="L16" i="282"/>
  <c r="AD92" i="297"/>
  <c r="Z86" i="283"/>
  <c r="AF93" i="297"/>
  <c r="AS55" i="297"/>
  <c r="AM70" i="282"/>
  <c r="AN70" i="282" s="1"/>
  <c r="AU40" i="297"/>
  <c r="H12" i="282"/>
  <c r="AF38" i="282"/>
  <c r="AF27" i="282"/>
  <c r="AH14" i="282"/>
  <c r="W109" i="283"/>
  <c r="L11" i="282"/>
  <c r="AL26" i="282"/>
  <c r="AN16" i="282"/>
  <c r="AJ83" i="297"/>
  <c r="AG90" i="297"/>
  <c r="AU84" i="297"/>
  <c r="Y10" i="283"/>
  <c r="K10" i="283"/>
  <c r="AF91" i="297"/>
  <c r="AP99" i="297"/>
  <c r="AT98" i="297"/>
  <c r="AU80" i="297"/>
  <c r="AF25" i="283"/>
  <c r="U13" i="283"/>
  <c r="AF13" i="283" s="1"/>
  <c r="AI25" i="283"/>
  <c r="G14" i="283"/>
  <c r="AU44" i="297"/>
  <c r="AG57" i="282"/>
  <c r="J10" i="283"/>
  <c r="X10" i="283"/>
  <c r="AQ99" i="297"/>
  <c r="AP55" i="297"/>
  <c r="AQ54" i="297"/>
  <c r="Z110" i="283"/>
  <c r="AC89" i="297"/>
  <c r="AM59" i="282"/>
  <c r="AN59" i="282" s="1"/>
  <c r="AU90" i="297"/>
  <c r="AE89" i="297"/>
  <c r="AG58" i="282"/>
  <c r="U86" i="283"/>
  <c r="Y86" i="283"/>
  <c r="AM58" i="282"/>
  <c r="AH34" i="283"/>
  <c r="W56" i="283"/>
  <c r="I18" i="283" s="1"/>
  <c r="I19" i="283"/>
  <c r="I20" i="283"/>
  <c r="AH35" i="283"/>
  <c r="AP52" i="297"/>
  <c r="AO55" i="297"/>
  <c r="U104" i="283"/>
  <c r="U107" i="283"/>
  <c r="AJ35" i="283"/>
  <c r="F20" i="283"/>
  <c r="AA52" i="283"/>
  <c r="AQ53" i="297"/>
  <c r="X110" i="283"/>
  <c r="U10" i="283"/>
  <c r="AF10" i="283" s="1"/>
  <c r="AI22" i="283"/>
  <c r="G10" i="283"/>
  <c r="AF22" i="283"/>
  <c r="H10" i="283"/>
  <c r="V10" i="283"/>
  <c r="AE10" i="283" s="1"/>
  <c r="AE22" i="283"/>
  <c r="AN51" i="297"/>
  <c r="Y36" i="283"/>
  <c r="K11" i="283" s="1"/>
  <c r="Y11" i="283"/>
  <c r="K12" i="283"/>
  <c r="AC92" i="297"/>
  <c r="AP54" i="297"/>
  <c r="AF90" i="297"/>
  <c r="AM51" i="297"/>
  <c r="AM53" i="282"/>
  <c r="AN53" i="282" s="1"/>
  <c r="AJ76" i="297"/>
  <c r="AI89" i="297"/>
  <c r="AP51" i="297"/>
  <c r="V86" i="283"/>
  <c r="AF92" i="297"/>
  <c r="K13" i="282"/>
  <c r="AG74" i="282"/>
  <c r="AH74" i="282" s="1"/>
  <c r="AK37" i="282"/>
  <c r="AK28" i="282"/>
  <c r="AM20" i="282"/>
  <c r="AM37" i="282" s="1"/>
  <c r="AM52" i="282"/>
  <c r="AN52" i="282" s="1"/>
  <c r="AM71" i="282"/>
  <c r="AN100" i="297"/>
  <c r="AG75" i="282"/>
  <c r="AH75" i="282" s="1"/>
  <c r="AG52" i="282"/>
  <c r="AH52" i="282" s="1"/>
  <c r="V109" i="283"/>
  <c r="AA30" i="283"/>
  <c r="T10" i="283"/>
  <c r="AJ10" i="283" s="1"/>
  <c r="AJ22" i="283"/>
  <c r="F10" i="283"/>
  <c r="AU88" i="297"/>
  <c r="AA31" i="283"/>
  <c r="AK23" i="283" s="1"/>
  <c r="AJ23" i="283"/>
  <c r="T36" i="283"/>
  <c r="F11" i="283" s="1"/>
  <c r="F12" i="283"/>
  <c r="T11" i="283"/>
  <c r="AJ11" i="283" s="1"/>
  <c r="Z107" i="283"/>
  <c r="Z104" i="283"/>
  <c r="AQ98" i="297"/>
  <c r="AC38" i="284"/>
  <c r="F14" i="284"/>
  <c r="AG54" i="282"/>
  <c r="AP98" i="297"/>
  <c r="K20" i="283"/>
  <c r="AM102" i="297"/>
  <c r="AQ102" i="297"/>
  <c r="F17" i="283"/>
  <c r="AJ33" i="283"/>
  <c r="AA50" i="283"/>
  <c r="K13" i="283"/>
  <c r="Y12" i="283"/>
  <c r="AB93" i="297"/>
  <c r="U85" i="283"/>
  <c r="AU34" i="297"/>
  <c r="AR98" i="297"/>
  <c r="AM55" i="297"/>
  <c r="AT100" i="297"/>
  <c r="AU86" i="297"/>
  <c r="Y108" i="283"/>
  <c r="H15" i="282"/>
  <c r="I15" i="282" s="1"/>
  <c r="AH18" i="282"/>
  <c r="AI18" i="282" s="1"/>
  <c r="H10" i="282"/>
  <c r="AF29" i="282"/>
  <c r="AH15" i="282"/>
  <c r="AI15" i="282" s="1"/>
  <c r="AQ51" i="297"/>
  <c r="F19" i="283"/>
  <c r="AJ34" i="283"/>
  <c r="T56" i="283"/>
  <c r="AJ39" i="283" s="1"/>
  <c r="AA51" i="283"/>
  <c r="X83" i="283"/>
  <c r="X80" i="283"/>
  <c r="AO98" i="297"/>
  <c r="Y110" i="283"/>
  <c r="X36" i="283"/>
  <c r="J11" i="283" s="1"/>
  <c r="X11" i="283"/>
  <c r="J12" i="283"/>
  <c r="AI36" i="283"/>
  <c r="G21" i="283"/>
  <c r="AF36" i="283"/>
  <c r="X84" i="283"/>
  <c r="AG33" i="283"/>
  <c r="L17" i="283"/>
  <c r="F12" i="284"/>
  <c r="AC36" i="284"/>
  <c r="AU37" i="297"/>
  <c r="K14" i="283"/>
  <c r="Y13" i="283"/>
  <c r="AI93" i="297"/>
  <c r="AJ84" i="297"/>
  <c r="AS51" i="297"/>
  <c r="AO54" i="297"/>
  <c r="AM67" i="282"/>
  <c r="AN67" i="282" s="1"/>
  <c r="F13" i="284"/>
  <c r="AC37" i="284"/>
  <c r="AH24" i="283"/>
  <c r="I13" i="283"/>
  <c r="W12" i="283"/>
  <c r="U36" i="283"/>
  <c r="G11" i="283" s="1"/>
  <c r="AF23" i="283"/>
  <c r="U11" i="283"/>
  <c r="AF11" i="283" s="1"/>
  <c r="AI23" i="283"/>
  <c r="G12" i="283"/>
  <c r="AM100" i="297"/>
  <c r="AM54" i="282"/>
  <c r="AU87" i="297"/>
  <c r="AE33" i="283"/>
  <c r="H17" i="283"/>
  <c r="AC91" i="297"/>
  <c r="AH16" i="282"/>
  <c r="AI16" i="282" s="1"/>
  <c r="AF26" i="282"/>
  <c r="H11" i="282"/>
  <c r="AH23" i="283"/>
  <c r="W11" i="283"/>
  <c r="I12" i="283"/>
  <c r="W36" i="283"/>
  <c r="I11" i="283" s="1"/>
  <c r="Z85" i="283"/>
  <c r="AO102" i="297"/>
  <c r="W10" i="283"/>
  <c r="I10" i="283"/>
  <c r="AH22" i="283"/>
  <c r="AT55" i="297"/>
  <c r="AT113" i="297" s="1"/>
  <c r="AU45" i="297"/>
  <c r="AT54" i="297"/>
  <c r="AU42" i="297"/>
  <c r="AU33" i="297"/>
  <c r="AT51" i="297"/>
  <c r="AM101" i="297"/>
  <c r="Y109" i="283"/>
  <c r="AN18" i="282"/>
  <c r="L15" i="282"/>
  <c r="AG16" i="282"/>
  <c r="G11" i="282"/>
  <c r="AE26" i="282"/>
  <c r="AU91" i="297"/>
  <c r="Z10" i="283"/>
  <c r="AG10" i="283" s="1"/>
  <c r="AG22" i="283"/>
  <c r="L10" i="283"/>
  <c r="AP53" i="297"/>
  <c r="AG19" i="282"/>
  <c r="G16" i="282"/>
  <c r="I16" i="282" s="1"/>
  <c r="AR55" i="297"/>
  <c r="AU46" i="297"/>
  <c r="AR53" i="297"/>
  <c r="AB91" i="297"/>
  <c r="AJ77" i="297"/>
  <c r="AO52" i="297"/>
  <c r="AU41" i="297"/>
  <c r="AU94" i="297"/>
  <c r="G17" i="283"/>
  <c r="AI33" i="283"/>
  <c r="AF33" i="283"/>
  <c r="AJ85" i="297"/>
  <c r="AE90" i="297"/>
  <c r="AJ81" i="297"/>
  <c r="Z13" i="283"/>
  <c r="L14" i="283"/>
  <c r="AG25" i="283"/>
  <c r="AN15" i="282"/>
  <c r="L10" i="282"/>
  <c r="AL29" i="282"/>
  <c r="AN102" i="297"/>
  <c r="F15" i="284"/>
  <c r="AJ82" i="297"/>
  <c r="AI92" i="297"/>
  <c r="AP101" i="297"/>
  <c r="W110" i="283"/>
  <c r="X108" i="283"/>
  <c r="AJ24" i="283"/>
  <c r="T12" i="283"/>
  <c r="AJ12" i="283" s="1"/>
  <c r="AA32" i="283"/>
  <c r="AK24" i="283" s="1"/>
  <c r="F13" i="283"/>
  <c r="AG89" i="297"/>
  <c r="AF24" i="283"/>
  <c r="AI24" i="283"/>
  <c r="G13" i="283"/>
  <c r="U12" i="283"/>
  <c r="AF12" i="283" s="1"/>
  <c r="U84" i="283"/>
  <c r="AR101" i="297"/>
  <c r="AG91" i="297"/>
  <c r="AC90" i="297"/>
  <c r="Y80" i="283"/>
  <c r="Y83" i="283"/>
  <c r="AK27" i="282"/>
  <c r="K12" i="282"/>
  <c r="AG68" i="282"/>
  <c r="AH68" i="282" s="1"/>
  <c r="AK38" i="282"/>
  <c r="AM14" i="282"/>
  <c r="AN53" i="297"/>
  <c r="AF39" i="282"/>
  <c r="AH13" i="282"/>
  <c r="AH39" i="282" s="1"/>
  <c r="AF30" i="282"/>
  <c r="H17" i="282"/>
  <c r="J21" i="283"/>
  <c r="J17" i="283"/>
  <c r="W83" i="283"/>
  <c r="W80" i="283"/>
  <c r="I21" i="283"/>
  <c r="AH36" i="283"/>
  <c r="AE24" i="283"/>
  <c r="V12" i="283"/>
  <c r="AE12" i="283" s="1"/>
  <c r="H13" i="283"/>
  <c r="J20" i="283"/>
  <c r="AM75" i="282"/>
  <c r="AN75" i="282" s="1"/>
  <c r="AG53" i="282"/>
  <c r="AH53" i="282" s="1"/>
  <c r="T86" i="283"/>
  <c r="AU81" i="297"/>
  <c r="AN52" i="297"/>
  <c r="AR51" i="297"/>
  <c r="AM53" i="297"/>
  <c r="AB89" i="297"/>
  <c r="G17" i="282"/>
  <c r="AE30" i="282"/>
  <c r="AG13" i="282"/>
  <c r="AG39" i="282" s="1"/>
  <c r="AE39" i="282"/>
  <c r="AN101" i="297"/>
  <c r="U83" i="283"/>
  <c r="U80" i="283"/>
  <c r="AT52" i="297"/>
  <c r="AU36" i="297"/>
  <c r="T80" i="283"/>
  <c r="T83" i="283"/>
  <c r="AM60" i="282"/>
  <c r="AN60" i="282" s="1"/>
  <c r="X104" i="283"/>
  <c r="X107" i="283"/>
  <c r="I17" i="283"/>
  <c r="AH33" i="283"/>
  <c r="AR99" i="297"/>
  <c r="AJ79" i="297"/>
  <c r="AJ78" i="297"/>
  <c r="AI90" i="297"/>
  <c r="AO51" i="297"/>
  <c r="AB92" i="297"/>
  <c r="V108" i="283"/>
  <c r="AN99" i="297"/>
  <c r="AD91" i="297"/>
  <c r="U110" i="283"/>
  <c r="AN98" i="297"/>
  <c r="V104" i="283"/>
  <c r="V107" i="283"/>
  <c r="AQ100" i="297"/>
  <c r="AF35" i="283"/>
  <c r="AI35" i="283"/>
  <c r="G20" i="283"/>
  <c r="AN55" i="297"/>
  <c r="AE25" i="283"/>
  <c r="V13" i="283"/>
  <c r="AE13" i="283" s="1"/>
  <c r="H14" i="283"/>
  <c r="U108" i="283"/>
  <c r="AS54" i="297"/>
  <c r="AR52" i="297"/>
  <c r="AP100" i="297"/>
  <c r="AE91" i="297"/>
  <c r="AG92" i="297"/>
  <c r="W108" i="283"/>
  <c r="AU82" i="297"/>
  <c r="AM68" i="282"/>
  <c r="AN68" i="282" s="1"/>
  <c r="AC93" i="297"/>
  <c r="AD93" i="297"/>
  <c r="T104" i="283"/>
  <c r="T107" i="283"/>
  <c r="AU35" i="297"/>
  <c r="AS53" i="297"/>
  <c r="AG60" i="282"/>
  <c r="AH60" i="282" s="1"/>
  <c r="AE28" i="282"/>
  <c r="G13" i="282"/>
  <c r="I13" i="282" s="1"/>
  <c r="AG20" i="282"/>
  <c r="AG37" i="282" s="1"/>
  <c r="AE37" i="282"/>
  <c r="W84" i="283"/>
  <c r="X12" i="283"/>
  <c r="J13" i="283"/>
  <c r="W107" i="283"/>
  <c r="W104" i="283"/>
  <c r="AG17" i="282"/>
  <c r="G14" i="282"/>
  <c r="AE27" i="282"/>
  <c r="G12" i="282"/>
  <c r="AE38" i="282"/>
  <c r="AG14" i="282"/>
  <c r="Y84" i="283"/>
  <c r="AG72" i="282"/>
  <c r="AM18" i="282"/>
  <c r="K15" i="282"/>
  <c r="AO100" i="297"/>
  <c r="AG59" i="282"/>
  <c r="AH59" i="282" s="1"/>
  <c r="AO101" i="297"/>
  <c r="AU89" i="297"/>
  <c r="AT101" i="297"/>
  <c r="V84" i="283"/>
  <c r="AD89" i="297"/>
  <c r="F21" i="283"/>
  <c r="AA53" i="283"/>
  <c r="AJ36" i="283"/>
  <c r="T84" i="283"/>
  <c r="T109" i="283"/>
  <c r="AE35" i="283"/>
  <c r="H20" i="283"/>
  <c r="K11" i="282"/>
  <c r="AG70" i="282"/>
  <c r="AH70" i="282" s="1"/>
  <c r="AM16" i="282"/>
  <c r="AK26" i="282"/>
  <c r="AU83" i="297"/>
  <c r="AT99" i="297"/>
  <c r="AJ80" i="297"/>
  <c r="AI91" i="297"/>
  <c r="Z84" i="283"/>
  <c r="AQ101" i="297"/>
  <c r="L19" i="283"/>
  <c r="Z56" i="283"/>
  <c r="Z16" i="283" s="1"/>
  <c r="AG34" i="283"/>
  <c r="AT53" i="297"/>
  <c r="AU39" i="297"/>
  <c r="W85" i="283"/>
  <c r="I12" i="284"/>
  <c r="AK14" i="284"/>
  <c r="I13" i="284"/>
  <c r="AK12" i="284"/>
  <c r="I11" i="284"/>
  <c r="I15" i="284"/>
  <c r="I14" i="284"/>
  <c r="AK13" i="284"/>
  <c r="AK15" i="284"/>
  <c r="AJ40" i="297"/>
  <c r="G11" i="284"/>
  <c r="AC67" i="284"/>
  <c r="AJ42" i="297"/>
  <c r="AD38" i="284"/>
  <c r="G14" i="284"/>
  <c r="AC66" i="284"/>
  <c r="AJ43" i="297"/>
  <c r="AB51" i="297"/>
  <c r="AE101" i="297" s="1"/>
  <c r="AB121" i="297" s="1"/>
  <c r="AB48" i="297"/>
  <c r="AN12" i="284"/>
  <c r="AN14" i="284"/>
  <c r="AN15" i="284"/>
  <c r="K15" i="284"/>
  <c r="AN13" i="284"/>
  <c r="K11" i="284"/>
  <c r="K22" i="283"/>
  <c r="AD37" i="284"/>
  <c r="G13" i="284"/>
  <c r="AD65" i="284"/>
  <c r="AJ45" i="297"/>
  <c r="F16" i="286"/>
  <c r="AO16" i="286"/>
  <c r="J22" i="283"/>
  <c r="AD36" i="284"/>
  <c r="G12" i="284"/>
  <c r="AD68" i="284"/>
  <c r="AJ46" i="297"/>
  <c r="AJ34" i="297"/>
  <c r="F15" i="286"/>
  <c r="AC65" i="284"/>
  <c r="AD67" i="284"/>
  <c r="AJ33" i="297"/>
  <c r="AJ36" i="297"/>
  <c r="J15" i="283"/>
  <c r="AC69" i="284"/>
  <c r="AD66" i="284"/>
  <c r="AJ37" i="297"/>
  <c r="K15" i="283"/>
  <c r="AD69" i="284"/>
  <c r="AJ3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I105" i="297" s="1"/>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M14" i="282"/>
  <c r="AI20" i="282"/>
  <c r="AO109" i="297" l="1"/>
  <c r="AP111" i="297"/>
  <c r="AR110" i="297"/>
  <c r="AM109" i="297"/>
  <c r="C129" i="297" s="1"/>
  <c r="AI102" i="297"/>
  <c r="J15" i="297" s="1"/>
  <c r="AN111" i="297"/>
  <c r="E132" i="297" s="1"/>
  <c r="AM112" i="297"/>
  <c r="F129" i="297" s="1"/>
  <c r="AQ112" i="297"/>
  <c r="AH10" i="283"/>
  <c r="AK10" i="283" s="1"/>
  <c r="AS101" i="297"/>
  <c r="AS112" i="297" s="1"/>
  <c r="AN110" i="297"/>
  <c r="D132" i="297" s="1"/>
  <c r="AR112" i="297"/>
  <c r="AO110" i="297"/>
  <c r="D135" i="297" s="1"/>
  <c r="AF104" i="297"/>
  <c r="G17" i="297" s="1"/>
  <c r="AO111" i="297"/>
  <c r="E135" i="297" s="1"/>
  <c r="W16" i="283"/>
  <c r="AC102" i="297"/>
  <c r="D130" i="297" s="1"/>
  <c r="AB104" i="297"/>
  <c r="C17" i="297" s="1"/>
  <c r="AQ109" i="297"/>
  <c r="AR109" i="297"/>
  <c r="C141" i="297" s="1"/>
  <c r="AE104" i="297"/>
  <c r="AB124" i="297" s="1"/>
  <c r="AD105" i="297"/>
  <c r="G133" i="297" s="1"/>
  <c r="AN103" i="297"/>
  <c r="AA11" i="283"/>
  <c r="AE103" i="297"/>
  <c r="AB123" i="297" s="1"/>
  <c r="AC105" i="297"/>
  <c r="G130" i="297" s="1"/>
  <c r="AK31" i="282"/>
  <c r="AM26" i="282" s="1"/>
  <c r="H79" i="282" s="1"/>
  <c r="I12" i="282"/>
  <c r="I11" i="282"/>
  <c r="AF40" i="282"/>
  <c r="M10" i="282"/>
  <c r="AQ113" i="297"/>
  <c r="AN112" i="297"/>
  <c r="F132" i="297" s="1"/>
  <c r="AB102" i="297"/>
  <c r="C15" i="297" s="1"/>
  <c r="AG38" i="284"/>
  <c r="AO113" i="297"/>
  <c r="G135" i="297" s="1"/>
  <c r="AO56" i="297"/>
  <c r="AG38" i="282"/>
  <c r="AG40" i="282" s="1"/>
  <c r="AP112" i="297"/>
  <c r="Y16" i="283"/>
  <c r="AO112" i="297"/>
  <c r="F135" i="297" s="1"/>
  <c r="X16" i="283"/>
  <c r="AN56" i="297"/>
  <c r="AT111" i="297"/>
  <c r="E126" i="297" s="1"/>
  <c r="AT109" i="297"/>
  <c r="C126" i="297" s="1"/>
  <c r="L18" i="283"/>
  <c r="T87" i="283"/>
  <c r="M21" i="283"/>
  <c r="M11" i="282"/>
  <c r="W14" i="283"/>
  <c r="W15" i="283" s="1"/>
  <c r="AQ110" i="297"/>
  <c r="AF39" i="283"/>
  <c r="AH40" i="283" s="1"/>
  <c r="AM103" i="297"/>
  <c r="AI13" i="282"/>
  <c r="AF102" i="297"/>
  <c r="G15" i="297" s="1"/>
  <c r="AB103" i="297"/>
  <c r="C16" i="297" s="1"/>
  <c r="AG104" i="297"/>
  <c r="AD124" i="297" s="1"/>
  <c r="AC78" i="284"/>
  <c r="AQ111" i="297"/>
  <c r="M12" i="282"/>
  <c r="AI12" i="283"/>
  <c r="U16" i="283"/>
  <c r="AF16" i="283" s="1"/>
  <c r="AS99" i="297"/>
  <c r="AS110" i="297" s="1"/>
  <c r="AK36" i="283"/>
  <c r="AI39" i="282"/>
  <c r="AN38" i="282"/>
  <c r="AN40" i="282" s="1"/>
  <c r="I10" i="282"/>
  <c r="AK35" i="283"/>
  <c r="AL40" i="282"/>
  <c r="AD104" i="297"/>
  <c r="F133" i="297" s="1"/>
  <c r="AN109" i="297"/>
  <c r="C132" i="297" s="1"/>
  <c r="AE102" i="297"/>
  <c r="AB122" i="297" s="1"/>
  <c r="AE94" i="297"/>
  <c r="AH50" i="282"/>
  <c r="AH49" i="282" s="1"/>
  <c r="AC94" i="297"/>
  <c r="M10" i="283"/>
  <c r="AS102" i="297"/>
  <c r="AS113" i="297" s="1"/>
  <c r="M13" i="282"/>
  <c r="M16" i="282"/>
  <c r="AH65" i="282"/>
  <c r="AH64" i="282" s="1"/>
  <c r="AE37" i="284"/>
  <c r="AI37" i="284" s="1"/>
  <c r="AA13" i="283"/>
  <c r="AM111" i="297"/>
  <c r="E129" i="297" s="1"/>
  <c r="AE31" i="282"/>
  <c r="AG26" i="282" s="1"/>
  <c r="F79" i="282" s="1"/>
  <c r="AE40" i="282"/>
  <c r="M20" i="283"/>
  <c r="AD94" i="297"/>
  <c r="AR103" i="297"/>
  <c r="AU49" i="297"/>
  <c r="I17" i="282"/>
  <c r="AM38" i="282"/>
  <c r="AM40" i="282" s="1"/>
  <c r="M13" i="283"/>
  <c r="Z14" i="283"/>
  <c r="AG14" i="283" s="1"/>
  <c r="AG52" i="283" s="1"/>
  <c r="J184" i="283" s="1"/>
  <c r="AT112" i="297"/>
  <c r="F126" i="297" s="1"/>
  <c r="M17" i="283"/>
  <c r="X14" i="283"/>
  <c r="X15" i="283" s="1"/>
  <c r="AK34" i="283"/>
  <c r="AH12" i="283"/>
  <c r="AK12" i="283" s="1"/>
  <c r="AP109" i="297"/>
  <c r="M12" i="283"/>
  <c r="AA10" i="283"/>
  <c r="AJ87" i="297"/>
  <c r="AM113" i="297"/>
  <c r="G129" i="297" s="1"/>
  <c r="AQ56" i="297"/>
  <c r="Y14" i="283"/>
  <c r="Y15" i="283" s="1"/>
  <c r="AH38" i="282"/>
  <c r="AI38" i="282" s="1"/>
  <c r="AL31" i="282"/>
  <c r="AN30" i="282" s="1"/>
  <c r="M17" i="282"/>
  <c r="M14" i="283"/>
  <c r="AH13" i="283"/>
  <c r="AR111" i="297"/>
  <c r="E141" i="297" s="1"/>
  <c r="AF70" i="283"/>
  <c r="I196" i="283" s="1"/>
  <c r="AC80" i="284"/>
  <c r="AN113" i="297"/>
  <c r="G132" i="297" s="1"/>
  <c r="AG94" i="297"/>
  <c r="AN65" i="282"/>
  <c r="AN64" i="282" s="1"/>
  <c r="T14" i="283"/>
  <c r="AJ14" i="283" s="1"/>
  <c r="AK49" i="283" s="1"/>
  <c r="G185" i="283" s="1"/>
  <c r="AI94" i="297"/>
  <c r="J19" i="297" s="1"/>
  <c r="AF94" i="297"/>
  <c r="K18" i="282"/>
  <c r="AD39" i="284"/>
  <c r="AD81" i="284" s="1"/>
  <c r="AG36" i="284"/>
  <c r="AQ103" i="297"/>
  <c r="I14" i="282"/>
  <c r="AR56" i="297"/>
  <c r="AB94" i="297"/>
  <c r="AA12" i="283"/>
  <c r="AM110" i="297"/>
  <c r="D129" i="297" s="1"/>
  <c r="M15" i="282"/>
  <c r="AK33" i="283"/>
  <c r="AS56" i="297"/>
  <c r="M19" i="283"/>
  <c r="AK40" i="282"/>
  <c r="AN50" i="282"/>
  <c r="AN49" i="282" s="1"/>
  <c r="AP56" i="297"/>
  <c r="AP113" i="297"/>
  <c r="AU96" i="297"/>
  <c r="AF31" i="282"/>
  <c r="AH30" i="282" s="1"/>
  <c r="AI30" i="282" s="1"/>
  <c r="AH39" i="284"/>
  <c r="AH38" i="284" s="1"/>
  <c r="AT103" i="297"/>
  <c r="AT56" i="297"/>
  <c r="V14" i="283"/>
  <c r="AE14" i="283" s="1"/>
  <c r="AE50" i="283" s="1"/>
  <c r="AT110" i="297"/>
  <c r="D126" i="297" s="1"/>
  <c r="AG102" i="297"/>
  <c r="AD122" i="297" s="1"/>
  <c r="AI103" i="297"/>
  <c r="E127" i="297" s="1"/>
  <c r="AE105" i="297"/>
  <c r="AB125" i="297" s="1"/>
  <c r="AG39" i="283"/>
  <c r="AJ40" i="283" s="1"/>
  <c r="G18" i="282"/>
  <c r="H18" i="283"/>
  <c r="AP103" i="297"/>
  <c r="H18" i="282"/>
  <c r="AK22" i="283"/>
  <c r="AI101" i="297"/>
  <c r="C127" i="297" s="1"/>
  <c r="U14" i="283"/>
  <c r="AF14" i="283" s="1"/>
  <c r="AP110" i="297"/>
  <c r="AI11" i="283"/>
  <c r="AD103" i="297"/>
  <c r="E16" i="297" s="1"/>
  <c r="AC104" i="297"/>
  <c r="F130" i="297" s="1"/>
  <c r="AF105" i="297"/>
  <c r="G18" i="297" s="1"/>
  <c r="L18" i="282"/>
  <c r="AI37" i="282"/>
  <c r="AC79" i="284"/>
  <c r="AD102" i="297"/>
  <c r="D133" i="297" s="1"/>
  <c r="AC103" i="297"/>
  <c r="E130" i="297" s="1"/>
  <c r="AB105" i="297"/>
  <c r="C18" i="297" s="1"/>
  <c r="AE35" i="284"/>
  <c r="AI35" i="284" s="1"/>
  <c r="AE36" i="284"/>
  <c r="AI36" i="284" s="1"/>
  <c r="AI13" i="283"/>
  <c r="V16" i="283"/>
  <c r="AI39" i="283"/>
  <c r="AF40" i="283" s="1"/>
  <c r="AI14" i="282"/>
  <c r="AO103" i="297"/>
  <c r="AR113" i="297"/>
  <c r="G141" i="297" s="1"/>
  <c r="AH39" i="283"/>
  <c r="AI40" i="283" s="1"/>
  <c r="AG13" i="283"/>
  <c r="AK13" i="283" s="1"/>
  <c r="AS98" i="297"/>
  <c r="AF103" i="297"/>
  <c r="AG105" i="297"/>
  <c r="AD125" i="297" s="1"/>
  <c r="AB101" i="297"/>
  <c r="C14" i="297" s="1"/>
  <c r="T16" i="283"/>
  <c r="AJ16" i="283" s="1"/>
  <c r="AH11" i="283"/>
  <c r="AK11" i="283" s="1"/>
  <c r="F18" i="283"/>
  <c r="M18" i="283" s="1"/>
  <c r="AI10" i="283"/>
  <c r="AS100" i="297"/>
  <c r="AS111" i="297" s="1"/>
  <c r="AG103" i="297"/>
  <c r="AD123" i="297" s="1"/>
  <c r="AI104" i="297"/>
  <c r="F127" i="297" s="1"/>
  <c r="AG101" i="297"/>
  <c r="AD121" i="297" s="1"/>
  <c r="J18" i="286"/>
  <c r="AO18" i="286"/>
  <c r="K12" i="286"/>
  <c r="L23" i="283"/>
  <c r="I23" i="283"/>
  <c r="K23" i="283"/>
  <c r="J13" i="284"/>
  <c r="AO19" i="286"/>
  <c r="AG66" i="284"/>
  <c r="AG65" i="284"/>
  <c r="AG35" i="284"/>
  <c r="AG68" i="284"/>
  <c r="J12" i="286"/>
  <c r="K16" i="286"/>
  <c r="J23" i="283"/>
  <c r="H15" i="286"/>
  <c r="H16" i="286"/>
  <c r="H23" i="283"/>
  <c r="AJ49" i="297"/>
  <c r="AK19" i="286"/>
  <c r="K14" i="286"/>
  <c r="AE68" i="284"/>
  <c r="AI68" i="284" s="1"/>
  <c r="AK16" i="284"/>
  <c r="AC81" i="284"/>
  <c r="AK26" i="283"/>
  <c r="AL14" i="284"/>
  <c r="AE66" i="284"/>
  <c r="AI66" i="284" s="1"/>
  <c r="AO56" i="286"/>
  <c r="AD79" i="284"/>
  <c r="AE38" i="284"/>
  <c r="AI38" i="284" s="1"/>
  <c r="AE65" i="284"/>
  <c r="AI65" i="284" s="1"/>
  <c r="AB56" i="297"/>
  <c r="K17" i="286"/>
  <c r="AI56" i="286"/>
  <c r="AN16" i="284"/>
  <c r="AD80" i="284"/>
  <c r="AN56" i="286"/>
  <c r="K11" i="286"/>
  <c r="AD78" i="284"/>
  <c r="AG78" i="284" s="1"/>
  <c r="K18" i="286"/>
  <c r="AN19" i="286"/>
  <c r="M15" i="283"/>
  <c r="K15" i="286"/>
  <c r="AH69" i="284"/>
  <c r="J11" i="284"/>
  <c r="AG37" i="284"/>
  <c r="AG50" i="283"/>
  <c r="J181" i="283" s="1"/>
  <c r="AG67" i="284"/>
  <c r="AJ19" i="286"/>
  <c r="AI56" i="297"/>
  <c r="AJ56" i="286"/>
  <c r="J14" i="286"/>
  <c r="J17" i="286"/>
  <c r="AE67" i="284"/>
  <c r="AI67" i="284" s="1"/>
  <c r="AL13" i="284"/>
  <c r="J12" i="284"/>
  <c r="J13" i="286"/>
  <c r="G16" i="284"/>
  <c r="AL15" i="284"/>
  <c r="J14" i="284"/>
  <c r="AL12" i="284"/>
  <c r="AI19" i="286"/>
  <c r="AK56" i="286"/>
  <c r="AM16" i="286"/>
  <c r="AM19" i="286" s="1"/>
  <c r="K13" i="286"/>
  <c r="H18" i="286"/>
  <c r="H12" i="286"/>
  <c r="H13" i="286"/>
  <c r="H14" i="286"/>
  <c r="H17" i="286"/>
  <c r="H11" i="286"/>
  <c r="I15" i="286"/>
  <c r="I16" i="286"/>
  <c r="AF16" i="286"/>
  <c r="AL16" i="286"/>
  <c r="AL19" i="286" s="1"/>
  <c r="AI18" i="286"/>
  <c r="AJ18" i="286"/>
  <c r="AK18" i="286"/>
  <c r="AN18" i="286"/>
  <c r="AC56" i="297"/>
  <c r="AD101" i="297"/>
  <c r="C133" i="297" s="1"/>
  <c r="AD56" i="297"/>
  <c r="AC101" i="297"/>
  <c r="C130" i="297" s="1"/>
  <c r="AE56" i="297"/>
  <c r="AF101" i="297"/>
  <c r="AF56" i="297"/>
  <c r="AG56" i="297"/>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Z15" i="283"/>
  <c r="F23" i="283"/>
  <c r="M22" i="283"/>
  <c r="M11" i="283"/>
  <c r="G126" i="297"/>
  <c r="E18" i="297"/>
  <c r="D141" i="297"/>
  <c r="G127" i="297"/>
  <c r="J18" i="297"/>
  <c r="F141" i="297"/>
  <c r="C136" i="297"/>
  <c r="F14" i="297"/>
  <c r="AG40" i="283"/>
  <c r="G23" i="283"/>
  <c r="AE40" i="283"/>
  <c r="AG16" i="283"/>
  <c r="F17" i="297" l="1"/>
  <c r="H17" i="297"/>
  <c r="AC106" i="297"/>
  <c r="D127" i="297"/>
  <c r="F138" i="297"/>
  <c r="AN114" i="297"/>
  <c r="AN121" i="297" s="1"/>
  <c r="AE52" i="283"/>
  <c r="E133" i="297"/>
  <c r="D15" i="297"/>
  <c r="D23" i="297" s="1"/>
  <c r="D18" i="297"/>
  <c r="D26" i="297" s="1"/>
  <c r="E136" i="297"/>
  <c r="F136" i="297"/>
  <c r="F142" i="297"/>
  <c r="AH67" i="284"/>
  <c r="AK39" i="283"/>
  <c r="AK40" i="283" s="1"/>
  <c r="AG51" i="283"/>
  <c r="J183" i="283" s="1"/>
  <c r="AG30" i="282"/>
  <c r="F83" i="282" s="1"/>
  <c r="AM30" i="282"/>
  <c r="H83" i="282" s="1"/>
  <c r="AN26" i="282"/>
  <c r="F16" i="297"/>
  <c r="AM28" i="282"/>
  <c r="H81" i="282" s="1"/>
  <c r="AM114" i="297"/>
  <c r="AM122" i="297" s="1"/>
  <c r="AM27" i="282"/>
  <c r="H80" i="282" s="1"/>
  <c r="AE51" i="283"/>
  <c r="AT114" i="297"/>
  <c r="AR118" i="297" s="1"/>
  <c r="M18" i="282"/>
  <c r="AM29" i="282"/>
  <c r="H82" i="282" s="1"/>
  <c r="AH16" i="283"/>
  <c r="AK50" i="283"/>
  <c r="G181" i="283" s="1"/>
  <c r="D16" i="297"/>
  <c r="AG28" i="282"/>
  <c r="F81" i="282" s="1"/>
  <c r="AI16" i="283"/>
  <c r="J17" i="297"/>
  <c r="C25" i="297" s="1"/>
  <c r="G138" i="297"/>
  <c r="AR114" i="297"/>
  <c r="AQ122" i="297" s="1"/>
  <c r="AG27" i="282"/>
  <c r="F80" i="282" s="1"/>
  <c r="D17" i="297"/>
  <c r="AG49" i="283"/>
  <c r="J185" i="283" s="1"/>
  <c r="AP114" i="297"/>
  <c r="AJ94" i="297"/>
  <c r="AB106" i="297"/>
  <c r="E17" i="297"/>
  <c r="D142" i="297"/>
  <c r="V15" i="283"/>
  <c r="AK52" i="283"/>
  <c r="G184" i="283" s="1"/>
  <c r="AE106" i="297"/>
  <c r="AD112" i="297" s="1"/>
  <c r="AO20" i="286"/>
  <c r="C19" i="297"/>
  <c r="D138" i="297"/>
  <c r="AQ114" i="297"/>
  <c r="I18" i="282"/>
  <c r="E138" i="297"/>
  <c r="L27" i="282"/>
  <c r="AH40" i="282"/>
  <c r="AD106" i="297"/>
  <c r="AC110" i="297" s="1"/>
  <c r="AH36" i="284"/>
  <c r="AH37" i="284"/>
  <c r="AH14" i="283"/>
  <c r="AH51" i="283" s="1"/>
  <c r="K183" i="283" s="1"/>
  <c r="AK51" i="283"/>
  <c r="G183" i="283" s="1"/>
  <c r="AG106" i="297"/>
  <c r="AF112" i="297" s="1"/>
  <c r="AG80" i="284"/>
  <c r="AH68" i="284"/>
  <c r="AH35" i="284"/>
  <c r="AE16" i="283"/>
  <c r="AK16" i="283" s="1"/>
  <c r="AN28" i="282"/>
  <c r="E15" i="297"/>
  <c r="E23" i="297" s="1"/>
  <c r="AN27" i="282"/>
  <c r="I80" i="282" s="1"/>
  <c r="J16" i="297"/>
  <c r="F24" i="297" s="1"/>
  <c r="F18" i="297"/>
  <c r="U15" i="283"/>
  <c r="AE49" i="283"/>
  <c r="AI106" i="297"/>
  <c r="H127" i="297" s="1"/>
  <c r="AN29" i="282"/>
  <c r="I82" i="282" s="1"/>
  <c r="C142" i="297"/>
  <c r="H15" i="297"/>
  <c r="H23" i="297" s="1"/>
  <c r="F15" i="297"/>
  <c r="T15" i="283"/>
  <c r="AF106" i="297"/>
  <c r="AE111" i="297" s="1"/>
  <c r="AH66" i="284"/>
  <c r="AH27" i="282"/>
  <c r="AI27" i="282" s="1"/>
  <c r="G136" i="297"/>
  <c r="AH105" i="297"/>
  <c r="G139" i="297" s="1"/>
  <c r="AH29" i="282"/>
  <c r="G82" i="282" s="1"/>
  <c r="H18" i="297"/>
  <c r="H26" i="297" s="1"/>
  <c r="D136" i="297"/>
  <c r="AG29" i="282"/>
  <c r="F82" i="282" s="1"/>
  <c r="AH102" i="297"/>
  <c r="D139" i="297" s="1"/>
  <c r="AH104" i="297"/>
  <c r="AC124" i="297" s="1"/>
  <c r="AH65" i="284"/>
  <c r="AH28" i="282"/>
  <c r="AI28" i="282" s="1"/>
  <c r="G142" i="297"/>
  <c r="AI14" i="283"/>
  <c r="AJ51" i="283" s="1"/>
  <c r="F183" i="283" s="1"/>
  <c r="AH26" i="282"/>
  <c r="G79" i="282" s="1"/>
  <c r="AH103" i="297"/>
  <c r="E139" i="297" s="1"/>
  <c r="AE79" i="284"/>
  <c r="AI79" i="284" s="1"/>
  <c r="AS103" i="297"/>
  <c r="AU103" i="297" s="1"/>
  <c r="AG79" i="284"/>
  <c r="H14" i="297"/>
  <c r="H16" i="297"/>
  <c r="J14" i="297"/>
  <c r="C22" i="297" s="1"/>
  <c r="E142" i="297"/>
  <c r="G16" i="297"/>
  <c r="AI20" i="286"/>
  <c r="D14" i="297"/>
  <c r="AK20" i="286"/>
  <c r="AI57" i="286"/>
  <c r="AL16" i="284"/>
  <c r="AE78" i="284"/>
  <c r="AI78" i="284" s="1"/>
  <c r="M23" i="283"/>
  <c r="AJ57" i="286"/>
  <c r="AE80" i="284"/>
  <c r="AI80" i="284" s="1"/>
  <c r="AN57" i="286"/>
  <c r="AL55" i="286"/>
  <c r="AL57" i="286" s="1"/>
  <c r="E14" i="297"/>
  <c r="AG81" i="284"/>
  <c r="AH101" i="297"/>
  <c r="AK57" i="286"/>
  <c r="AO57" i="286"/>
  <c r="AN20" i="286"/>
  <c r="AE47" i="283"/>
  <c r="AJ65" i="283"/>
  <c r="AF72" i="283" s="1"/>
  <c r="AM18" i="286"/>
  <c r="AM20" i="286" s="1"/>
  <c r="AM55" i="286"/>
  <c r="AM57" i="286" s="1"/>
  <c r="AE56" i="283"/>
  <c r="AE57" i="283" s="1"/>
  <c r="AG56" i="283"/>
  <c r="AG63" i="283" s="1"/>
  <c r="AL18" i="286"/>
  <c r="AL20" i="286" s="1"/>
  <c r="AH56" i="283"/>
  <c r="AH57" i="283" s="1"/>
  <c r="AH65" i="283"/>
  <c r="AI72" i="283" s="1"/>
  <c r="AJ20" i="286"/>
  <c r="G14" i="297"/>
  <c r="AB111" i="297"/>
  <c r="AB112" i="297"/>
  <c r="AB113" i="297"/>
  <c r="AB114" i="297"/>
  <c r="AB110" i="297"/>
  <c r="AG65" i="283"/>
  <c r="J194" i="283" s="1"/>
  <c r="AE65" i="283"/>
  <c r="AE66" i="283" s="1"/>
  <c r="AF56" i="283"/>
  <c r="AF57" i="283" s="1"/>
  <c r="H190" i="283"/>
  <c r="AK56" i="283"/>
  <c r="G188" i="283" s="1"/>
  <c r="G189" i="283"/>
  <c r="I189" i="283"/>
  <c r="AJ56" i="283"/>
  <c r="AJ57" i="283" s="1"/>
  <c r="H189" i="283"/>
  <c r="K189" i="283"/>
  <c r="J189" i="283"/>
  <c r="AK65" i="283"/>
  <c r="G194" i="283" s="1"/>
  <c r="G195" i="283"/>
  <c r="J195" i="283"/>
  <c r="K195" i="283"/>
  <c r="I195" i="283"/>
  <c r="I194" i="283"/>
  <c r="AF50" i="283"/>
  <c r="I181" i="283" s="1"/>
  <c r="AF49" i="283"/>
  <c r="I185" i="283" s="1"/>
  <c r="AF52" i="283"/>
  <c r="I184" i="283" s="1"/>
  <c r="AF51" i="283"/>
  <c r="I79" i="282"/>
  <c r="G83" i="282"/>
  <c r="I81" i="282"/>
  <c r="I83" i="282"/>
  <c r="AH82" i="284"/>
  <c r="AE81" i="284"/>
  <c r="AI81" i="284" s="1"/>
  <c r="C23" i="297"/>
  <c r="G23" i="297"/>
  <c r="E26" i="297"/>
  <c r="H132" i="297"/>
  <c r="AN118" i="297"/>
  <c r="C24" i="297"/>
  <c r="H130" i="297"/>
  <c r="C26" i="297"/>
  <c r="G26" i="297"/>
  <c r="AF66" i="283"/>
  <c r="AH72" i="283"/>
  <c r="AN120" i="297" l="1"/>
  <c r="AN119" i="297"/>
  <c r="AN122" i="297"/>
  <c r="H141" i="297"/>
  <c r="E167" i="297" s="1"/>
  <c r="AR121" i="297"/>
  <c r="AR119" i="297"/>
  <c r="AG47" i="283"/>
  <c r="AG48" i="283" s="1"/>
  <c r="H25" i="297"/>
  <c r="G25" i="297"/>
  <c r="F25" i="297"/>
  <c r="AR120" i="297"/>
  <c r="E25" i="297"/>
  <c r="AH52" i="283"/>
  <c r="K184" i="283" s="1"/>
  <c r="H126" i="297"/>
  <c r="E152" i="297" s="1"/>
  <c r="AR122" i="297"/>
  <c r="AH50" i="283"/>
  <c r="K181" i="283" s="1"/>
  <c r="AM120" i="297"/>
  <c r="AC112" i="297"/>
  <c r="AQ119" i="297"/>
  <c r="AQ118" i="297"/>
  <c r="I18" i="297"/>
  <c r="I26" i="297" s="1"/>
  <c r="D25" i="297"/>
  <c r="AC113" i="297"/>
  <c r="AM119" i="297"/>
  <c r="AF111" i="297"/>
  <c r="H129" i="297"/>
  <c r="G155" i="297" s="1"/>
  <c r="AM118" i="297"/>
  <c r="AM123" i="297" s="1"/>
  <c r="AG111" i="297"/>
  <c r="G80" i="282"/>
  <c r="AM121" i="297"/>
  <c r="AG114" i="297"/>
  <c r="AG113" i="297"/>
  <c r="AQ121" i="297"/>
  <c r="I15" i="297"/>
  <c r="I23" i="297" s="1"/>
  <c r="AI29" i="282"/>
  <c r="AQ120" i="297"/>
  <c r="AC114" i="297"/>
  <c r="AD111" i="297"/>
  <c r="AJ52" i="283"/>
  <c r="F184" i="283" s="1"/>
  <c r="AD110" i="297"/>
  <c r="I17" i="297"/>
  <c r="I25" i="297" s="1"/>
  <c r="F19" i="297"/>
  <c r="H136" i="297"/>
  <c r="G162" i="297" s="1"/>
  <c r="AE110" i="297"/>
  <c r="F23" i="297"/>
  <c r="G19" i="297"/>
  <c r="AC111" i="297"/>
  <c r="AD114" i="297"/>
  <c r="AE113" i="297"/>
  <c r="AC122" i="297"/>
  <c r="F22" i="297"/>
  <c r="AD113" i="297"/>
  <c r="AE112" i="297"/>
  <c r="H24" i="297"/>
  <c r="AK47" i="283"/>
  <c r="AK48" i="283" s="1"/>
  <c r="H133" i="297"/>
  <c r="D159" i="297" s="1"/>
  <c r="AE114" i="297"/>
  <c r="AG110" i="297"/>
  <c r="H22" i="297"/>
  <c r="F26" i="297"/>
  <c r="AH49" i="283"/>
  <c r="K185" i="283" s="1"/>
  <c r="H142" i="297"/>
  <c r="F168" i="297" s="1"/>
  <c r="AF110" i="297"/>
  <c r="AG112" i="297"/>
  <c r="E24" i="297"/>
  <c r="AI26" i="282"/>
  <c r="D24" i="297"/>
  <c r="AF114" i="297"/>
  <c r="D22" i="297"/>
  <c r="AJ49" i="283"/>
  <c r="F185" i="283" s="1"/>
  <c r="AF113" i="297"/>
  <c r="F139" i="297"/>
  <c r="G24" i="297"/>
  <c r="AJ50" i="283"/>
  <c r="F181" i="283" s="1"/>
  <c r="G22" i="297"/>
  <c r="I16" i="297"/>
  <c r="I24" i="297" s="1"/>
  <c r="AC125" i="297"/>
  <c r="H19" i="297"/>
  <c r="G81" i="282"/>
  <c r="AC123" i="297"/>
  <c r="AH106" i="297"/>
  <c r="H139" i="297" s="1"/>
  <c r="G165" i="297" s="1"/>
  <c r="E22" i="297"/>
  <c r="AE72" i="283"/>
  <c r="D19" i="297"/>
  <c r="E19" i="297"/>
  <c r="AK63" i="283"/>
  <c r="F194" i="283"/>
  <c r="AK57" i="283"/>
  <c r="AG57" i="283"/>
  <c r="H188" i="283"/>
  <c r="J188" i="283"/>
  <c r="AK66" i="283"/>
  <c r="AH66" i="283"/>
  <c r="AK54" i="283"/>
  <c r="AH81" i="284"/>
  <c r="I14" i="297"/>
  <c r="C139" i="297"/>
  <c r="AJ72" i="283"/>
  <c r="AJ63" i="283"/>
  <c r="AH63" i="283"/>
  <c r="AC121" i="297"/>
  <c r="F188" i="283"/>
  <c r="AF63" i="283"/>
  <c r="AF47" i="283"/>
  <c r="AF48" i="283" s="1"/>
  <c r="K194" i="283"/>
  <c r="I188" i="283"/>
  <c r="AG66" i="283"/>
  <c r="AE63" i="283"/>
  <c r="H194" i="283"/>
  <c r="AG72" i="283"/>
  <c r="K188" i="283"/>
  <c r="AJ66" i="283"/>
  <c r="I183" i="283"/>
  <c r="AH47" i="283"/>
  <c r="AH48" i="283" s="1"/>
  <c r="AN123" i="297"/>
  <c r="D158" i="297"/>
  <c r="C158" i="297"/>
  <c r="E158" i="297"/>
  <c r="G158" i="297"/>
  <c r="F158" i="297"/>
  <c r="D156" i="297"/>
  <c r="F156" i="297"/>
  <c r="E156" i="297"/>
  <c r="G156" i="297"/>
  <c r="C156" i="297"/>
  <c r="F153" i="297"/>
  <c r="E153" i="297"/>
  <c r="D153" i="297"/>
  <c r="C153" i="297"/>
  <c r="AE48" i="283"/>
  <c r="H183" i="283"/>
  <c r="H184" i="283"/>
  <c r="J182" i="283"/>
  <c r="AH78" i="284"/>
  <c r="AH79" i="284"/>
  <c r="AH80" i="284"/>
  <c r="G153" i="297"/>
  <c r="AG54" i="283"/>
  <c r="F159" i="297" l="1"/>
  <c r="E155" i="297"/>
  <c r="C167" i="297"/>
  <c r="F167" i="297"/>
  <c r="D155" i="297"/>
  <c r="G167" i="297"/>
  <c r="AR123" i="297"/>
  <c r="C159" i="297"/>
  <c r="F152" i="297"/>
  <c r="D152" i="297"/>
  <c r="D167" i="297"/>
  <c r="C155" i="297"/>
  <c r="G152" i="297"/>
  <c r="C152" i="297"/>
  <c r="F155" i="297"/>
  <c r="F162" i="297"/>
  <c r="C162" i="297"/>
  <c r="E162" i="297"/>
  <c r="E165" i="297"/>
  <c r="AJ47" i="283"/>
  <c r="AJ48" i="283" s="1"/>
  <c r="G159" i="297"/>
  <c r="AQ123" i="297"/>
  <c r="F165" i="297"/>
  <c r="E159" i="297"/>
  <c r="G182" i="283"/>
  <c r="D168" i="297"/>
  <c r="D162" i="297"/>
  <c r="E168" i="297"/>
  <c r="G168" i="297"/>
  <c r="C168" i="297"/>
  <c r="I19" i="297"/>
  <c r="D165" i="297"/>
  <c r="C165" i="297"/>
  <c r="AH54" i="283"/>
  <c r="I22" i="297"/>
  <c r="AF54" i="283"/>
  <c r="I182" i="283"/>
  <c r="K182" i="283"/>
  <c r="H182" i="283"/>
  <c r="AE54" i="283"/>
  <c r="F182" i="283" l="1"/>
  <c r="AJ54"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<sst xmlns="http://schemas.openxmlformats.org/spreadsheetml/2006/main" count="5379" uniqueCount="2858">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</sst>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265B999-118D-416C-97D3-0101550653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6FF4210-BC6E-4351-99DE-034FAF4A3A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D6D555B-E53F-4F58-A62A-C9AB51944A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5FE79D85-1C6C-4328-8143-7A13B168E4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7C83207-9A11-4FF5-AA53-A8285C47ED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26</c:v>
                </c:pt>
                <c:pt idx="3">
                  <c:v>1</c:v>
                </c:pt>
                <c:pt idx="4">
                  <c:v>117</c:v>
                </c:pt>
              </c:numCache>
            </c:numRef>
          </c:val>
          <c:extLst>
            <c:ext xmlns:c15="http://schemas.microsoft.com/office/drawing/2012/chart" uri="{02D57815-91ED-43cb-92C2-25804820EDAC}">
              <c15:datalabelsRange>
                <c15:f>'Racial Composition'!$AI$26:$AI$30</c15:f>
                <c15:dlblRangeCache>
                  <c:ptCount val="5"/>
                  <c:pt idx="0">
                    <c:v>0
(0%)</c:v>
                  </c:pt>
                  <c:pt idx="1">
                    <c:v>0
(0%)</c:v>
                  </c:pt>
                  <c:pt idx="2">
                    <c:v>26
(18%)</c:v>
                  </c:pt>
                  <c:pt idx="3">
                    <c:v>1
(1%)</c:v>
                  </c:pt>
                  <c:pt idx="4">
                    <c:v>117
(81%)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Kahlotus</c:v>
                </c:pt>
                <c:pt idx="1">
                  <c:v>Franklin County</c:v>
                </c:pt>
              </c:strCache>
            </c:strRef>
          </c:cat>
          <c:val>
            <c:numRef>
              <c:f>('Racial Composition'!$AH$30,'Racial Composition'!$AN$30)</c:f>
              <c:numCache>
                <c:formatCode>0%</c:formatCode>
                <c:ptCount val="2"/>
                <c:pt idx="0">
                  <c:v>0.8125</c:v>
                </c:pt>
                <c:pt idx="1">
                  <c:v>0.39869343837064081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Kahlotus</c:v>
                </c:pt>
                <c:pt idx="1">
                  <c:v>Franklin County</c:v>
                </c:pt>
              </c:strCache>
            </c:strRef>
          </c:cat>
          <c:val>
            <c:numRef>
              <c:f>('Racial Composition'!$AH$29,'Racial Composition'!$AN$29)</c:f>
              <c:numCache>
                <c:formatCode>0%</c:formatCode>
                <c:ptCount val="2"/>
                <c:pt idx="0">
                  <c:v>6.9444444444444441E-3</c:v>
                </c:pt>
                <c:pt idx="1">
                  <c:v>3.0763975619389202E-2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Kahlotus</c:v>
                </c:pt>
                <c:pt idx="1">
                  <c:v>Franklin County</c:v>
                </c:pt>
              </c:strCache>
            </c:strRef>
          </c:cat>
          <c:val>
            <c:numRef>
              <c:f>('Racial Composition'!$AH$28,'Racial Composition'!$AN$28)</c:f>
              <c:numCache>
                <c:formatCode>0%</c:formatCode>
                <c:ptCount val="2"/>
                <c:pt idx="0">
                  <c:v>0.18055555555555555</c:v>
                </c:pt>
                <c:pt idx="1">
                  <c:v>0.53240251491764601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Kahlotus</c:v>
                </c:pt>
                <c:pt idx="1">
                  <c:v>Franklin County</c:v>
                </c:pt>
              </c:strCache>
            </c:strRef>
          </c:cat>
          <c:val>
            <c:numRef>
              <c:f>('Racial Composition'!$AH$27,'Racial Composition'!$AN$27)</c:f>
              <c:numCache>
                <c:formatCode>0%</c:formatCode>
                <c:ptCount val="2"/>
                <c:pt idx="0">
                  <c:v>0</c:v>
                </c:pt>
                <c:pt idx="1">
                  <c:v>1.8413552374547667E-2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Kahlotus</c:v>
                </c:pt>
                <c:pt idx="1">
                  <c:v>Franklin County</c:v>
                </c:pt>
              </c:strCache>
            </c:strRef>
          </c:cat>
          <c:val>
            <c:numRef>
              <c:f>('Racial Composition'!$AH$26,'Racial Composition'!$AN$26)</c:f>
              <c:numCache>
                <c:formatCode>0%</c:formatCode>
                <c:ptCount val="2"/>
                <c:pt idx="0">
                  <c:v>0</c:v>
                </c:pt>
                <c:pt idx="1">
                  <c:v>1.9726518717776285E-2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Kahlotus</c:v>
                  </c:pt>
                  <c:pt idx="2">
                    <c:v>Franklin County</c:v>
                  </c:pt>
                </c:lvl>
              </c:multiLvlStrCache>
            </c:multiLvlStrRef>
          </c:cat>
          <c:val>
            <c:numRef>
              <c:f>('Racial Composition'!$AG$39:$AH$39,'Racial Composition'!$AM$39:$AN$39)</c:f>
              <c:numCache>
                <c:formatCode>0%</c:formatCode>
                <c:ptCount val="4"/>
                <c:pt idx="0">
                  <c:v>0.9196428571428571</c:v>
                </c:pt>
                <c:pt idx="1">
                  <c:v>0.8125</c:v>
                </c:pt>
                <c:pt idx="2">
                  <c:v>0.42343509595918699</c:v>
                </c:pt>
                <c:pt idx="3">
                  <c:v>0.39869343837064081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Kahlotus</c:v>
                  </c:pt>
                  <c:pt idx="2">
                    <c:v>Franklin County</c:v>
                  </c:pt>
                </c:lvl>
              </c:multiLvlStrCache>
            </c:multiLvlStrRef>
          </c:cat>
          <c:val>
            <c:numRef>
              <c:f>('Racial Composition'!$AG$38:$AH$38,'Racial Composition'!$AM$38:$AN$38)</c:f>
              <c:numCache>
                <c:formatCode>0%</c:formatCode>
                <c:ptCount val="4"/>
                <c:pt idx="0">
                  <c:v>2.6785714285714284E-2</c:v>
                </c:pt>
                <c:pt idx="1">
                  <c:v>6.9444444444444441E-3</c:v>
                </c:pt>
                <c:pt idx="2">
                  <c:v>6.1589718080122154E-2</c:v>
                </c:pt>
                <c:pt idx="3">
                  <c:v>6.8904046711713157E-2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Kahlotus</c:v>
                  </c:pt>
                  <c:pt idx="2">
                    <c:v>Franklin County</c:v>
                  </c:pt>
                </c:lvl>
              </c:multiLvlStrCache>
            </c:multiLvlStrRef>
          </c:cat>
          <c:val>
            <c:numRef>
              <c:f>('Racial Composition'!$AG$37:$AH$37,'Racial Composition'!$AM$37:$AN$37)</c:f>
              <c:numCache>
                <c:formatCode>0%</c:formatCode>
                <c:ptCount val="4"/>
                <c:pt idx="0">
                  <c:v>5.3571428571428568E-2</c:v>
                </c:pt>
                <c:pt idx="1">
                  <c:v>0.18055555555555555</c:v>
                </c:pt>
                <c:pt idx="2">
                  <c:v>0.51497518596069081</c:v>
                </c:pt>
                <c:pt idx="3">
                  <c:v>0.53240251491764601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2B5947C-9541-4A31-86F8-4300D5FC83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9AB84011-61BB-481E-8A64-8AFCAAB08A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3464605-AECF-4EE7-A945-CE63710556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26</c:v>
                </c:pt>
                <c:pt idx="1">
                  <c:v>1</c:v>
                </c:pt>
                <c:pt idx="2">
                  <c:v>117</c:v>
                </c:pt>
              </c:numCache>
            </c:numRef>
          </c:val>
          <c:extLst>
            <c:ext xmlns:c15="http://schemas.microsoft.com/office/drawing/2012/chart" uri="{02D57815-91ED-43cb-92C2-25804820EDAC}">
              <c15:datalabelsRange>
                <c15:f>'Racial Composition'!$AI$37:$AI$39</c15:f>
                <c15:dlblRangeCache>
                  <c:ptCount val="3"/>
                  <c:pt idx="0">
                    <c:v>26
(18%)</c:v>
                  </c:pt>
                  <c:pt idx="1">
                    <c:v>1
(1%)</c:v>
                  </c:pt>
                  <c:pt idx="2">
                    <c:v>117
(81%)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Kahlotus</c:v>
                </c:pt>
                <c:pt idx="1">
                  <c:v>Franklin County</c:v>
                </c:pt>
              </c:strCache>
            </c:strRef>
          </c:cat>
          <c:val>
            <c:numRef>
              <c:f>('Racial Composition'!$AH$39,'Racial Composition'!$AN$39)</c:f>
              <c:numCache>
                <c:formatCode>0%</c:formatCode>
                <c:ptCount val="2"/>
                <c:pt idx="0">
                  <c:v>0.8125</c:v>
                </c:pt>
                <c:pt idx="1">
                  <c:v>0.39869343837064081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Kahlotus</c:v>
                </c:pt>
                <c:pt idx="1">
                  <c:v>Franklin County</c:v>
                </c:pt>
              </c:strCache>
            </c:strRef>
          </c:cat>
          <c:val>
            <c:numRef>
              <c:f>('Racial Composition'!$AH$38,'Racial Composition'!$AN$38)</c:f>
              <c:numCache>
                <c:formatCode>0%</c:formatCode>
                <c:ptCount val="2"/>
                <c:pt idx="0">
                  <c:v>6.9444444444444441E-3</c:v>
                </c:pt>
                <c:pt idx="1">
                  <c:v>6.8904046711713157E-2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Kahlotus</c:v>
                </c:pt>
                <c:pt idx="1">
                  <c:v>Franklin County</c:v>
                </c:pt>
              </c:strCache>
            </c:strRef>
          </c:cat>
          <c:val>
            <c:numRef>
              <c:f>('Racial Composition'!$AH$37,'Racial Composition'!$AN$37)</c:f>
              <c:numCache>
                <c:formatCode>0%</c:formatCode>
                <c:ptCount val="2"/>
                <c:pt idx="0">
                  <c:v>0.18055555555555555</c:v>
                </c:pt>
                <c:pt idx="1">
                  <c:v>0.53240251491764601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0</c:v>
                </c:pt>
                <c:pt idx="4">
                  <c:v>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14</c:v>
                </c:pt>
                <c:pt idx="3">
                  <c:v>0</c:v>
                </c:pt>
                <c:pt idx="4">
                  <c:v>40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4</c:v>
                </c:pt>
                <c:pt idx="3">
                  <c:v>0</c:v>
                </c:pt>
                <c:pt idx="4">
                  <c:v>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0.22222222222222221</c:v>
                </c:pt>
                <c:pt idx="3">
                  <c:v>0</c:v>
                </c:pt>
                <c:pt idx="4">
                  <c:v>0.22222222222222221</c:v>
                </c:pt>
                <c:pt idx="5">
                  <c:v>7.407407407407407E-2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0.18518518518518517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0.77777777777777779</c:v>
                </c:pt>
                <c:pt idx="3">
                  <c:v>0</c:v>
                </c:pt>
                <c:pt idx="4">
                  <c:v>0.77777777777777779</c:v>
                </c:pt>
                <c:pt idx="5">
                  <c:v>0.7407407407407407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1</c:v>
                </c:pt>
                <c:pt idx="3">
                  <c:v>0</c:v>
                </c:pt>
                <c:pt idx="4">
                  <c:v>1</c:v>
                </c:pt>
                <c:pt idx="5">
                  <c:v>0.4</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c:v>
                </c:pt>
                <c:pt idx="4">
                  <c:v>1</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10</c:v>
                </c:pt>
                <c:pt idx="3">
                  <c:v>0</c:v>
                </c:pt>
                <c:pt idx="4">
                  <c:v>30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4</c:v>
                </c:pt>
                <c:pt idx="2">
                  <c:v>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14</c:v>
                </c:pt>
                <c:pt idx="1">
                  <c:v>14</c:v>
                </c:pt>
                <c:pt idx="2">
                  <c:v>40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10</c:v>
                </c:pt>
                <c:pt idx="2">
                  <c:v>30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4</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4</c:v>
                </c:pt>
                <c:pt idx="2">
                  <c:v>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0.22222222222222221</c:v>
                </c:pt>
                <c:pt idx="1">
                  <c:v>0.22222222222222221</c:v>
                </c:pt>
                <c:pt idx="2">
                  <c:v>7.407407407407407E-2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0.18518518518518517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0.77777777777777779</c:v>
                </c:pt>
                <c:pt idx="1">
                  <c:v>0.77777777777777779</c:v>
                </c:pt>
                <c:pt idx="2">
                  <c:v>0.7407407407407407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0.22222222222222221</c:v>
                </c:pt>
                <c:pt idx="3">
                  <c:v>0</c:v>
                </c:pt>
                <c:pt idx="4">
                  <c:v>0.22222222222222221</c:v>
                </c:pt>
                <c:pt idx="5">
                  <c:v>7.407407407407407E-2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0.18518518518518517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0.77777777777777779</c:v>
                </c:pt>
                <c:pt idx="3">
                  <c:v>0</c:v>
                </c:pt>
                <c:pt idx="4">
                  <c:v>0.77777777777777779</c:v>
                </c:pt>
                <c:pt idx="5">
                  <c:v>0.7407407407407407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0.22222222222222221</c:v>
                </c:pt>
                <c:pt idx="1">
                  <c:v>0.22222222222222221</c:v>
                </c:pt>
                <c:pt idx="2">
                  <c:v>7.407407407407407E-2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0.18518518518518517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0.77777777777777779</c:v>
                </c:pt>
                <c:pt idx="1">
                  <c:v>0.77777777777777779</c:v>
                </c:pt>
                <c:pt idx="2">
                  <c:v>0.7407407407407407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c:v>
                </c:pt>
                <c:pt idx="1">
                  <c:v>1</c:v>
                </c:pt>
                <c:pt idx="2">
                  <c:v>0.4</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c:v>
                </c:pt>
                <c:pt idx="1">
                  <c:v>0.2857142857142857</c:v>
                </c:pt>
                <c:pt idx="3">
                  <c:v>0.21767497034400948</c:v>
                </c:pt>
                <c:pt idx="4">
                  <c:v>0.11983471074380166</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c:v>
                </c:pt>
                <c:pt idx="1">
                  <c:v>0.7142857142857143</c:v>
                </c:pt>
                <c:pt idx="3">
                  <c:v>0.20166073546856464</c:v>
                </c:pt>
                <c:pt idx="4">
                  <c:v>0.39374262101534829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c:v>
                </c:pt>
                <c:pt idx="1">
                  <c:v>0</c:v>
                </c:pt>
                <c:pt idx="3">
                  <c:v>0.27817319098457888</c:v>
                </c:pt>
                <c:pt idx="4">
                  <c:v>0.45985832349468714</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c:v>
                </c:pt>
                <c:pt idx="1">
                  <c:v>0</c:v>
                </c:pt>
                <c:pt idx="3">
                  <c:v>0.30189798339264534</c:v>
                </c:pt>
                <c:pt idx="4">
                  <c:v>2.7744982290436836E-2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0</c:v>
                </c:pt>
                <c:pt idx="2">
                  <c:v>-10</c:v>
                </c:pt>
                <c:pt idx="3">
                  <c:v>16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c:v>
                </c:pt>
                <c:pt idx="1">
                  <c:v>-4</c:v>
                </c:pt>
                <c:pt idx="2">
                  <c:v>-10</c:v>
                </c:pt>
                <c:pt idx="3">
                  <c:v>14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9418C86-833D-47EE-8C64-3306F71FA5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832B9153-88AC-49D0-8088-C1A2C33534A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44BCD3EE-9FBE-4607-9FCE-52549009243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8D2ACCEC-86AB-4C28-B659-7155C1C91DD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3.2</c:v>
                </c:pt>
                <c:pt idx="1">
                  <c:v>3.2</c:v>
                </c:pt>
                <c:pt idx="2">
                  <c:v>3.2</c:v>
                </c:pt>
                <c:pt idx="3">
                  <c:v>19.2</c:v>
                </c:pt>
              </c:numCache>
            </c:numRef>
          </c:val>
          <c:smooth val="0"/>
          <c:extLst>
            <c:ext xmlns:c15="http://schemas.microsoft.com/office/drawing/2012/chart" uri="{02D57815-91ED-43cb-92C2-25804820EDAC}">
              <c15:datalabelsRange>
                <c15:f>'Rental Affordability'!$AI$78:$AI$81</c15:f>
                <c15:dlblRangeCache>
                  <c:ptCount val="4"/>
                  <c:pt idx="0">
                    <c:v>Difference:
-6 units</c:v>
                  </c:pt>
                  <c:pt idx="1">
                    <c:v>Difference:
-4 units</c:v>
                  </c:pt>
                  <c:pt idx="2">
                    <c:v>Difference:
0 units</c:v>
                  </c:pt>
                  <c:pt idx="3">
                    <c:v>Difference:
-2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4</c:v>
                </c:pt>
                <c:pt idx="2">
                  <c:v>0</c:v>
                </c:pt>
                <c:pt idx="3">
                  <c:v>10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10</c:v>
                </c:pt>
                <c:pt idx="2">
                  <c:v>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896CCE7-CE34-456E-8A76-6232AA5481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C7F4D67F-D69D-484D-B323-4829D3311EF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00FE13A8-084A-4E7F-B69F-3A177B41A6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06E7078-A1C8-4629-B26A-8CEC4A88C06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4.4000000000000004</c:v>
                </c:pt>
                <c:pt idx="1">
                  <c:v>10.4</c:v>
                </c:pt>
                <c:pt idx="2">
                  <c:v>0.4</c:v>
                </c:pt>
                <c:pt idx="3">
                  <c:v>10.4</c:v>
                </c:pt>
              </c:numCache>
            </c:numRef>
          </c:val>
          <c:smooth val="0"/>
          <c:extLst>
            <c:ext xmlns:c15="http://schemas.microsoft.com/office/drawing/2012/chart" uri="{02D57815-91ED-43cb-92C2-25804820EDAC}">
              <c15:datalabelsRange>
                <c15:f>'Rental Affordability'!$AI$35:$AI$38</c15:f>
                <c15:dlblRangeCache>
                  <c:ptCount val="4"/>
                  <c:pt idx="0">
                    <c:v>
0 units</c:v>
                  </c:pt>
                  <c:pt idx="1">
                    <c:v>Surplus: 
+6 units</c:v>
                  </c:pt>
                  <c:pt idx="2">
                    <c:v>
0 units</c:v>
                  </c:pt>
                  <c:pt idx="3">
                    <c:v>Shortfall:
-10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0.2</c:v>
                </c:pt>
                <c:pt idx="3">
                  <c:v>0</c:v>
                </c:pt>
                <c:pt idx="4">
                  <c:v>0.125</c:v>
                </c:pt>
                <c:pt idx="5">
                  <c:v>0.11764705882352941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0.4</c:v>
                </c:pt>
                <c:pt idx="3">
                  <c:v>0</c:v>
                </c:pt>
                <c:pt idx="4">
                  <c:v>0.125</c:v>
                </c:pt>
                <c:pt idx="5">
                  <c:v>0.17647058823529413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0.21875</c:v>
                </c:pt>
                <c:pt idx="5">
                  <c:v>0.20588235294117646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c:v>
                </c:pt>
                <c:pt idx="3">
                  <c:v>0</c:v>
                </c:pt>
                <c:pt idx="4">
                  <c:v>0.3125</c:v>
                </c:pt>
                <c:pt idx="5">
                  <c:v>0.29411764705882354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c:v>
                </c:pt>
                <c:pt idx="3">
                  <c:v>0</c:v>
                </c:pt>
                <c:pt idx="4">
                  <c:v>0.21875</c:v>
                </c:pt>
                <c:pt idx="5">
                  <c:v>0.20588235294117646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c:v>
                </c:pt>
                <c:pt idx="4">
                  <c:v>0</c:v>
                </c:pt>
                <c:pt idx="5">
                  <c:v>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8</c:v>
                </c:pt>
                <c:pt idx="4">
                  <c:v>0</c:v>
                </c:pt>
                <c:pt idx="5">
                  <c:v>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4</c:v>
                </c:pt>
                <c:pt idx="4">
                  <c:v>0</c:v>
                </c:pt>
                <c:pt idx="5">
                  <c:v>20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14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c:v>
                </c:pt>
                <c:pt idx="1">
                  <c:v>0.25</c:v>
                </c:pt>
                <c:pt idx="2">
                  <c:v>0.125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0.4</c:v>
                </c:pt>
                <c:pt idx="1">
                  <c:v>0.25</c:v>
                </c:pt>
                <c:pt idx="2">
                  <c:v>0.125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0.21875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c:v>
                </c:pt>
                <c:pt idx="1">
                  <c:v>0.25</c:v>
                </c:pt>
                <c:pt idx="2">
                  <c:v>0.3125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c:v>
                </c:pt>
                <c:pt idx="1">
                  <c:v>0.25</c:v>
                </c:pt>
                <c:pt idx="2">
                  <c:v>0.21875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-4</c:v>
                </c:pt>
                <c:pt idx="2">
                  <c:v>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c:v>
                </c:pt>
                <c:pt idx="1">
                  <c:v>-4</c:v>
                </c:pt>
                <c:pt idx="2">
                  <c:v>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14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c:v>
                </c:pt>
                <c:pt idx="1">
                  <c:v>-4</c:v>
                </c:pt>
                <c:pt idx="2">
                  <c:v>20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-4</c:v>
                </c:pt>
                <c:pt idx="2">
                  <c:v>14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0.13333333333333333</c:v>
                </c:pt>
                <c:pt idx="2">
                  <c:v>0.11764705882352941</c:v>
                </c:pt>
                <c:pt idx="4">
                  <c:v>0</c:v>
                </c:pt>
                <c:pt idx="5">
                  <c:v>0</c:v>
                </c:pt>
                <c:pt idx="7">
                  <c:v>0</c:v>
                </c:pt>
                <c:pt idx="8">
                  <c:v>0</c:v>
                </c:pt>
                <c:pt idx="10">
                  <c:v>0</c:v>
                </c:pt>
                <c:pt idx="11">
                  <c:v>0.2</c:v>
                </c:pt>
                <c:pt idx="13">
                  <c:v>0</c:v>
                </c:pt>
                <c:pt idx="14">
                  <c:v>0.25</c:v>
                </c:pt>
                <c:pt idx="16">
                  <c:v>0.15384615384615385</c:v>
                </c:pt>
                <c:pt idx="17">
                  <c:v>0.125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0.13333333333333333</c:v>
                </c:pt>
                <c:pt idx="2">
                  <c:v>0.17647058823529413</c:v>
                </c:pt>
                <c:pt idx="4">
                  <c:v>0</c:v>
                </c:pt>
                <c:pt idx="5">
                  <c:v>0</c:v>
                </c:pt>
                <c:pt idx="7">
                  <c:v>0</c:v>
                </c:pt>
                <c:pt idx="8">
                  <c:v>0</c:v>
                </c:pt>
                <c:pt idx="10">
                  <c:v>0</c:v>
                </c:pt>
                <c:pt idx="11">
                  <c:v>0.4</c:v>
                </c:pt>
                <c:pt idx="13">
                  <c:v>1</c:v>
                </c:pt>
                <c:pt idx="14">
                  <c:v>0.25</c:v>
                </c:pt>
                <c:pt idx="16">
                  <c:v>7.6923076923076927E-2</c:v>
                </c:pt>
                <c:pt idx="17">
                  <c:v>0.125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0.33333333333333331</c:v>
                </c:pt>
                <c:pt idx="2">
                  <c:v>0.20588235294117646</c:v>
                </c:pt>
                <c:pt idx="4">
                  <c:v>0</c:v>
                </c:pt>
                <c:pt idx="5">
                  <c:v>0</c:v>
                </c:pt>
                <c:pt idx="7">
                  <c:v>0</c:v>
                </c:pt>
                <c:pt idx="8">
                  <c:v>0</c:v>
                </c:pt>
                <c:pt idx="10">
                  <c:v>0</c:v>
                </c:pt>
                <c:pt idx="11">
                  <c:v>0</c:v>
                </c:pt>
                <c:pt idx="13">
                  <c:v>0</c:v>
                </c:pt>
                <c:pt idx="14">
                  <c:v>0</c:v>
                </c:pt>
                <c:pt idx="16">
                  <c:v>0.38461538461538464</c:v>
                </c:pt>
                <c:pt idx="17">
                  <c:v>0.21875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0.16666666666666666</c:v>
                </c:pt>
                <c:pt idx="2">
                  <c:v>0.29411764705882354</c:v>
                </c:pt>
                <c:pt idx="4">
                  <c:v>0</c:v>
                </c:pt>
                <c:pt idx="5">
                  <c:v>0</c:v>
                </c:pt>
                <c:pt idx="7">
                  <c:v>0</c:v>
                </c:pt>
                <c:pt idx="8">
                  <c:v>0</c:v>
                </c:pt>
                <c:pt idx="10">
                  <c:v>0</c:v>
                </c:pt>
                <c:pt idx="11">
                  <c:v>0.2</c:v>
                </c:pt>
                <c:pt idx="13">
                  <c:v>0</c:v>
                </c:pt>
                <c:pt idx="14">
                  <c:v>0.25</c:v>
                </c:pt>
                <c:pt idx="16">
                  <c:v>0.19230769230769232</c:v>
                </c:pt>
                <c:pt idx="17">
                  <c:v>0.3125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0.23333333333333334</c:v>
                </c:pt>
                <c:pt idx="2">
                  <c:v>0.20588235294117646</c:v>
                </c:pt>
                <c:pt idx="4">
                  <c:v>0</c:v>
                </c:pt>
                <c:pt idx="5">
                  <c:v>0</c:v>
                </c:pt>
                <c:pt idx="7">
                  <c:v>1</c:v>
                </c:pt>
                <c:pt idx="8">
                  <c:v>0</c:v>
                </c:pt>
                <c:pt idx="10">
                  <c:v>0</c:v>
                </c:pt>
                <c:pt idx="11">
                  <c:v>0.2</c:v>
                </c:pt>
                <c:pt idx="13">
                  <c:v>0</c:v>
                </c:pt>
                <c:pt idx="14">
                  <c:v>0.25</c:v>
                </c:pt>
                <c:pt idx="16">
                  <c:v>0.19230769230769232</c:v>
                </c:pt>
                <c:pt idx="17">
                  <c:v>0.21875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10</c:v>
                </c:pt>
                <c:pt idx="3">
                  <c:v>0</c:v>
                </c:pt>
                <c:pt idx="4">
                  <c:v>40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0</c:v>
                </c:pt>
                <c:pt idx="4">
                  <c:v>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0</c:v>
                </c:pt>
                <c:pt idx="2">
                  <c:v>40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0</c:v>
                </c:pt>
                <c:pt idx="2">
                  <c:v>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0.7142857142857143</c:v>
                </c:pt>
                <c:pt idx="3">
                  <c:v>0</c:v>
                </c:pt>
                <c:pt idx="4">
                  <c:v>0.8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0.2857142857142857</c:v>
                </c:pt>
                <c:pt idx="3">
                  <c:v>0</c:v>
                </c:pt>
                <c:pt idx="4">
                  <c:v>0.2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0.7142857142857143</c:v>
                </c:pt>
                <c:pt idx="1">
                  <c:v>0</c:v>
                </c:pt>
                <c:pt idx="2">
                  <c:v>0.8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0.2857142857142857</c:v>
                </c:pt>
                <c:pt idx="1">
                  <c:v>0</c:v>
                </c:pt>
                <c:pt idx="2">
                  <c:v>0.2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Kahlotus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Franklin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517</v>
      </c>
    </row>
    <row r="7" spans="2:10" ht="20.25">
      <c r="B7" s="9"/>
      <c r="C7" s="48" t="s">
        <v>1919</v>
      </c>
    </row>
    <row r="8" spans="2:10" ht="20.25">
      <c r="B8" s="8" t="s">
        <v>2678</v>
      </c>
      <c r="C8" s="45" t="str">
        <f>IFERROR(INDEX(GEOID[GEO_ID],MATCH(City,GEOID[NAME],0)),"(not found)")</f>
        <v>1600000US5334575</v>
      </c>
    </row>
    <row r="9" spans="2:10" ht="20.25">
      <c r="B9" s="8"/>
      <c r="C9" s="45" t="str">
        <f>IFERROR(INDEX(GEOID[GEO_ID],MATCH(County,GEOID[NAME],0)),"(not found)")</f>
        <v>0500000US53021</v>
      </c>
    </row>
    <row r="11" spans="2:10" ht="20.25">
      <c r="B11" s="8" t="s">
        <v>2677</v>
      </c>
      <c r="C11" s="49" t="str">
        <f>IFERROR(INDEX(WA_CDPs[GEO_ID_CHAS],MATCH(City,WA_CDPs[NAME],0)),"(not found)")</f>
        <v>16000US5334575</v>
      </c>
    </row>
    <row r="12" spans="2:10" ht="20.25">
      <c r="B12" s="8"/>
      <c r="C12" s="49" t="str">
        <f>IFERROR(INDEX(WA_Counties[GEO_ID_CHAS],MATCH(County,WA_Counties[NAME],0)),"(not found)")</f>
        <v>05000US53021</v>
      </c>
    </row>
    <row r="14" spans="2:10" ht="20.25">
      <c r="B14" s="8" t="s">
        <v>2695</v>
      </c>
      <c r="C14" s="49" t="str">
        <f>SUBSTITUTE(SUBSTITUTE(SUBSTITUTE(City, " city, Washington", ""), " town, Washington", ""), " CDP, Washington", "")</f>
        <v>Kahlotus</v>
      </c>
    </row>
    <row r="15" spans="2:10" ht="20.25">
      <c r="B15" s="8"/>
      <c r="C15" s="49" t="str">
        <f>SUBSTITUTE(County,", Washington","")</f>
        <v>Franklin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Kahlotus and Franklin County, 2015 and 2020</v>
      </c>
      <c r="E76" s="7" t="s">
        <v>2697</v>
      </c>
      <c r="H76" s="42" t="s">
        <v>2407</v>
      </c>
    </row>
    <row r="77" spans="2:10">
      <c r="B77" s="7" t="str">
        <f>'Racial Composition'!C74</f>
        <v>Table 2. Racial composition percentage of Kahlotus and Franklin County 2015 and 2020</v>
      </c>
      <c r="E77" s="7" t="s">
        <v>2697</v>
      </c>
    </row>
    <row r="78" spans="2:10">
      <c r="B78" s="7" t="str">
        <f>'Cost Burden'!C4</f>
        <v>Table 3. Kahlotus number of households by housing cost burden, 2019</v>
      </c>
      <c r="E78" s="7" t="s">
        <v>2804</v>
      </c>
    </row>
    <row r="79" spans="2:10">
      <c r="B79" s="7" t="str">
        <f>'Cost Burden'!C173</f>
        <v>Table 4. Kahlotus percentage of households by housing cost burden, 2019</v>
      </c>
      <c r="E79" s="7" t="s">
        <v>2804</v>
      </c>
    </row>
    <row r="80" spans="2:10">
      <c r="B80" s="7" t="str">
        <f>'Rental Affordability'!C5</f>
        <v>Table 5. Kahlotus and Franklin County rental units by affordability and households by income, 2019</v>
      </c>
      <c r="E80" s="7" t="s">
        <v>1266</v>
      </c>
    </row>
    <row r="81" spans="2:5">
      <c r="B81" s="7" t="str">
        <f>Income!B6</f>
        <v>Table 6. Kahlotus count of households by income and race, 2019</v>
      </c>
      <c r="E81" s="7" t="s">
        <v>2662</v>
      </c>
    </row>
    <row r="82" spans="2:5">
      <c r="B82" s="7" t="str">
        <f>Income!B119</f>
        <v>Table 7. Kahlotus five year change in households by income and race, 2014 - 2019</v>
      </c>
      <c r="E82" s="7" t="s">
        <v>2662</v>
      </c>
    </row>
    <row r="83" spans="2:5">
      <c r="B83" s="7" t="str">
        <f>Income!B146</f>
        <v>Table 8. Kahlotus five year change in distribution of households by income and race, 2014 - 2019</v>
      </c>
      <c r="E83" s="7" t="s">
        <v>2662</v>
      </c>
    </row>
    <row r="84" spans="2:5">
      <c r="B84" s="7" t="str">
        <f>Tenure!B5</f>
        <v>Table 9. Kahlotus count of owner and renter households by racial group, 2019</v>
      </c>
      <c r="E84" s="7" t="s">
        <v>0</v>
      </c>
    </row>
    <row r="86" spans="2:5" ht="15">
      <c r="B86" s="290" t="s">
        <v>2805</v>
      </c>
      <c r="C86" s="290"/>
      <c r="D86" s="290"/>
      <c r="E86" s="290"/>
    </row>
    <row r="87" spans="2:5">
      <c r="B87" s="10" t="s">
        <v>2806</v>
      </c>
    </row>
    <row r="88" spans="2:5">
      <c r="B88" s="7" t="str">
        <f>'Racial Composition'!C29</f>
        <v>Chart 1. Kahlotus population by race and Hispanic or Latino ethnicity, 2020</v>
      </c>
      <c r="E88" s="7" t="s">
        <v>2697</v>
      </c>
    </row>
    <row r="89" spans="2:5">
      <c r="B89" s="7" t="str">
        <f>'Racial Composition'!C56</f>
        <v>Chart 1a. Kahlotus population by race and Hispanic ethnicity, 2020</v>
      </c>
      <c r="E89" s="7" t="s">
        <v>2697</v>
      </c>
    </row>
    <row r="90" spans="2:5">
      <c r="B90" s="7" t="str">
        <f>'Racial Composition'!C87</f>
        <v>Chart 2. Racial composition of Kahlotus and Franklin County, 2020</v>
      </c>
      <c r="E90" s="7" t="s">
        <v>2697</v>
      </c>
    </row>
    <row r="91" spans="2:5">
      <c r="B91" s="7" t="str">
        <f>'Racial Composition'!C113</f>
        <v>Chart 2a. Racial composition of Kahlotus and Franklin County, 2020</v>
      </c>
      <c r="E91" s="7" t="s">
        <v>2697</v>
      </c>
    </row>
    <row r="92" spans="2:5">
      <c r="B92" s="7" t="str">
        <f>'Racial Composition'!C138</f>
        <v>Chart 3. Racial composition of Kahlotus and Franklin County, 2015 and 2020</v>
      </c>
      <c r="E92" s="7" t="s">
        <v>2697</v>
      </c>
    </row>
    <row r="93" spans="2:5">
      <c r="B93" s="7" t="str">
        <f>'Cost Burden'!C29</f>
        <v>Chart 4. Kahlotus total housing cost burden by racial and ethnic group, 2019</v>
      </c>
      <c r="E93" s="7" t="s">
        <v>2804</v>
      </c>
    </row>
    <row r="94" spans="2:5">
      <c r="B94" s="7" t="str">
        <f>'Cost Burden'!C53</f>
        <v>Chart 4a. Kahlotus total housing cost burden by racial and ethnic group, 2019</v>
      </c>
      <c r="E94" s="7" t="s">
        <v>2804</v>
      </c>
    </row>
    <row r="95" spans="2:5">
      <c r="B95" s="7" t="str">
        <f>'Cost Burden'!C76</f>
        <v>Chart 5. Kahlotus number of owner households by race and cost burden, 2019</v>
      </c>
      <c r="E95" s="7" t="s">
        <v>2804</v>
      </c>
    </row>
    <row r="96" spans="2:5">
      <c r="B96" s="7" t="str">
        <f>'Cost Burden'!C100</f>
        <v>Chart 5a. Kahlotus number of owner households by race and cost burden, 2019</v>
      </c>
      <c r="E96" s="7" t="s">
        <v>2804</v>
      </c>
    </row>
    <row r="97" spans="2:5">
      <c r="B97" s="7" t="str">
        <f>'Cost Burden'!C124</f>
        <v>Chart 6. Kahlotus renter households by race and cost burden, 2019</v>
      </c>
      <c r="E97" s="7" t="s">
        <v>2804</v>
      </c>
    </row>
    <row r="98" spans="2:5">
      <c r="B98" s="7" t="str">
        <f>'Cost Burden'!C148</f>
        <v>Chart 6a. Kahlotus renter households by race and cost burden, 2019</v>
      </c>
      <c r="E98" s="7" t="s">
        <v>2804</v>
      </c>
    </row>
    <row r="99" spans="2:5">
      <c r="B99" s="7" t="str">
        <f>'Cost Burden'!C202</f>
        <v>Chart 7. Kahlotus percent of all households experiencing housing cost burden, 2019</v>
      </c>
      <c r="E99" s="7" t="s">
        <v>2804</v>
      </c>
    </row>
    <row r="100" spans="2:5">
      <c r="B100" s="7" t="str">
        <f>'Cost Burden'!C228</f>
        <v>Chart 7a. Kahlotus percent of all households experiencing housing cost burden, 2019</v>
      </c>
      <c r="E100" s="7" t="s">
        <v>2804</v>
      </c>
    </row>
    <row r="101" spans="2:5">
      <c r="B101" s="7" t="str">
        <f>'Cost Burden'!C246</f>
        <v>Chart 8. Kahlotus percent owner households experiencing housing cost burden, 2019</v>
      </c>
      <c r="E101" s="7" t="s">
        <v>2804</v>
      </c>
    </row>
    <row r="102" spans="2:5">
      <c r="B102" s="7" t="str">
        <f>'Cost Burden'!C272</f>
        <v>Chart 8a. Kahlotus percent owner households experiencing housing cost burden, 2019</v>
      </c>
      <c r="E102" s="7" t="s">
        <v>2804</v>
      </c>
    </row>
    <row r="103" spans="2:5">
      <c r="B103" s="7" t="str">
        <f>'Cost Burden'!C291</f>
        <v>Chart 9. Kahlotus percent renter households experiencing housing cost burden, 2019</v>
      </c>
      <c r="E103" s="7" t="s">
        <v>2804</v>
      </c>
    </row>
    <row r="104" spans="2:5">
      <c r="B104" s="7" t="str">
        <f>'Cost Burden'!C317</f>
        <v>Chart 9a. Kahlotus percent renter households experiencing housing cost burden, 2019</v>
      </c>
      <c r="E104" s="7" t="s">
        <v>2804</v>
      </c>
    </row>
    <row r="105" spans="2:5">
      <c r="B105" s="7" t="str">
        <f>'Rental Affordability'!C20</f>
        <v>Chart 10. Kahlotus and Franklin County renter household income compared to rental unit affordability, 2019</v>
      </c>
      <c r="E105" s="7" t="s">
        <v>1266</v>
      </c>
    </row>
    <row r="106" spans="2:5">
      <c r="B106" s="7" t="str">
        <f>'Rental Affordability'!C45</f>
        <v>Chart 11. Kahlotus renter households by income compared to rental units by affordability, 2019</v>
      </c>
      <c r="E106" s="7" t="s">
        <v>1266</v>
      </c>
    </row>
    <row r="107" spans="2:5">
      <c r="B107" s="7" t="str">
        <f>'Rental Affordability'!C78</f>
        <v>Chart 12. Kahlotus five year change in renter households by income and rental units by affordability, 2014 - 2019</v>
      </c>
      <c r="E107" s="7" t="s">
        <v>1266</v>
      </c>
    </row>
    <row r="108" spans="2:5">
      <c r="B108" s="7" t="str">
        <f>Income!B31</f>
        <v>Chart 13. Kahlotus number of households by income category and race, 2019</v>
      </c>
      <c r="E108" s="7" t="s">
        <v>2662</v>
      </c>
    </row>
    <row r="109" spans="2:5">
      <c r="B109" s="7" t="str">
        <f>Income!B55</f>
        <v>Chart 13a. Kahlotus number of households by income category and race, 2019</v>
      </c>
      <c r="E109" s="7" t="s">
        <v>2662</v>
      </c>
    </row>
    <row r="110" spans="2:5">
      <c r="B110" s="7" t="str">
        <f>Income!B78</f>
        <v>Chart 14. Kahlotus distribution of households by income and race or ethnicity, 2019</v>
      </c>
      <c r="E110" s="7" t="s">
        <v>2662</v>
      </c>
    </row>
    <row r="111" spans="2:5">
      <c r="B111" s="7" t="str">
        <f>Income!B100</f>
        <v>Chart 14a. Kahlotus distribution of households by income and race or ethnicity, 2019</v>
      </c>
      <c r="E111" s="7" t="s">
        <v>2662</v>
      </c>
    </row>
    <row r="112" spans="2:5">
      <c r="B112" s="7" t="str">
        <f>Income!B172</f>
        <v>Chart 15. Kahlotus percentage of all households by income category and race, (2010 - 2014 vs 2015 - 2019)</v>
      </c>
      <c r="E112" s="7" t="s">
        <v>2662</v>
      </c>
    </row>
    <row r="113" spans="2:5">
      <c r="B113" s="7" t="str">
        <f>Tenure!B22</f>
        <v>Chart 16. Kahlotus total number of owner and renter households by race and ethnicity, 2019</v>
      </c>
      <c r="E113" s="7" t="s">
        <v>0</v>
      </c>
    </row>
    <row r="114" spans="2:5">
      <c r="B114" s="7" t="str">
        <f>Tenure!B47</f>
        <v>Chart 16a. Kahlotus total number of owner and renter households by race and ethnicity, 2019</v>
      </c>
      <c r="E114" s="7" t="s">
        <v>0</v>
      </c>
    </row>
    <row r="115" spans="2:5">
      <c r="B115" s="7" t="str">
        <f>Tenure!B69</f>
        <v xml:space="preserve">Chart 17. Kahlotus percent owner and renter households by race and ethnicity, 2019 </v>
      </c>
      <c r="E115" s="7" t="s">
        <v>0</v>
      </c>
    </row>
    <row r="116" spans="2:5">
      <c r="B116" s="7" t="str">
        <f>Tenure!B95</f>
        <v xml:space="preserve">Chart 17a. Kahlotus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Kahlotus and Franklin County, 2015 and 2020</v>
      </c>
      <c r="D5" s="301"/>
      <c r="E5" s="301"/>
      <c r="F5" s="301"/>
      <c r="G5" s="301"/>
      <c r="H5" s="301"/>
      <c r="I5" s="301"/>
      <c r="J5" s="301"/>
      <c r="K5" s="301"/>
      <c r="L5" s="301"/>
      <c r="M5" s="301"/>
      <c r="AA5" s="16" t="s">
        <v>2702</v>
      </c>
      <c r="AB5" s="304" t="str">
        <f>City</f>
        <v>Kahlotus city, Washington</v>
      </c>
      <c r="AC5" s="304"/>
      <c r="AM5" s="32"/>
    </row>
    <row r="6" spans="3:51" ht="15.75">
      <c r="C6" s="301"/>
      <c r="D6" s="301"/>
      <c r="E6" s="301"/>
      <c r="F6" s="301"/>
      <c r="G6" s="301"/>
      <c r="H6" s="301"/>
      <c r="I6" s="301"/>
      <c r="J6" s="301"/>
      <c r="K6" s="301"/>
      <c r="L6" s="301"/>
      <c r="M6" s="301"/>
      <c r="AA6" s="16" t="s">
        <v>2703</v>
      </c>
      <c r="AB6" s="304" t="str">
        <f>County</f>
        <v>Franklin County, Washington</v>
      </c>
      <c r="AC6" s="304"/>
      <c r="AL6" s="32"/>
    </row>
    <row r="7" spans="3:51" ht="15" thickBot="1"/>
    <row r="8" spans="3:51">
      <c r="C8" s="64"/>
      <c r="D8" s="64"/>
      <c r="E8" s="64"/>
      <c r="F8" s="64"/>
      <c r="G8" s="65" t="str">
        <f>City_label</f>
        <v>Kahlotus</v>
      </c>
      <c r="H8" s="65"/>
      <c r="I8" s="64"/>
      <c r="J8" s="64"/>
      <c r="K8" s="65" t="str">
        <f>County_label</f>
        <v>Franklin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0</v>
      </c>
      <c r="I10" s="69">
        <f t="shared" ref="I10:I17" si="0">H10-G10</f>
        <v>0</v>
      </c>
      <c r="J10" s="29"/>
      <c r="K10" s="69">
        <f>AK15</f>
        <v>297</v>
      </c>
      <c r="L10" s="69">
        <f>AL15</f>
        <v>220</v>
      </c>
      <c r="M10" s="69">
        <f t="shared" ref="M10:M17" si="1">L10-K10</f>
        <v>-77</v>
      </c>
      <c r="AE10" s="36" t="str">
        <f>City_label</f>
        <v>Kahlotus</v>
      </c>
      <c r="AF10" s="36" t="str">
        <f>City_label</f>
        <v>Kahlotus</v>
      </c>
      <c r="AG10" s="36" t="str">
        <f>City_label</f>
        <v>Kahlotus</v>
      </c>
      <c r="AH10" s="36" t="str">
        <f>City_label</f>
        <v>Kahlotus</v>
      </c>
      <c r="AI10" s="36" t="str">
        <f>City_label</f>
        <v>Kahlotus</v>
      </c>
      <c r="AK10" s="36" t="str">
        <f>County_label</f>
        <v>Franklin County</v>
      </c>
      <c r="AL10" s="36" t="str">
        <f>County_label</f>
        <v>Franklin County</v>
      </c>
      <c r="AM10" s="36" t="str">
        <f>County_label</f>
        <v>Franklin County</v>
      </c>
      <c r="AN10" s="36" t="str">
        <f>County_label</f>
        <v>Franklin County</v>
      </c>
      <c r="AP10" s="36"/>
    </row>
    <row r="11" spans="3:51" ht="15">
      <c r="C11" s="29" t="str">
        <f>AC16</f>
        <v>Asian</v>
      </c>
      <c r="D11" s="29"/>
      <c r="E11" s="29"/>
      <c r="F11" s="29"/>
      <c r="G11" s="69">
        <f>AE16</f>
        <v>0</v>
      </c>
      <c r="H11" s="69">
        <f>AF16</f>
        <v>0</v>
      </c>
      <c r="I11" s="69">
        <f t="shared" si="0"/>
        <v>0</v>
      </c>
      <c r="J11" s="29"/>
      <c r="K11" s="69">
        <f>AK16</f>
        <v>1771</v>
      </c>
      <c r="L11" s="69">
        <f>AL16</f>
        <v>1848</v>
      </c>
      <c r="M11" s="69">
        <f t="shared" si="1"/>
        <v>77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4</v>
      </c>
      <c r="H12" s="69">
        <f>AF14</f>
        <v>0</v>
      </c>
      <c r="I12" s="69">
        <f t="shared" si="0"/>
        <v>-4</v>
      </c>
      <c r="J12" s="29"/>
      <c r="K12" s="69">
        <f>AK14</f>
        <v>1579</v>
      </c>
      <c r="L12" s="69">
        <f>AL14</f>
        <v>1725</v>
      </c>
      <c r="M12" s="69">
        <f t="shared" si="1"/>
        <v>146</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12</v>
      </c>
      <c r="H13" s="69">
        <f>AF20</f>
        <v>26</v>
      </c>
      <c r="I13" s="69">
        <f t="shared" si="0"/>
        <v>14</v>
      </c>
      <c r="J13" s="29"/>
      <c r="K13" s="69">
        <f>AK20</f>
        <v>44516</v>
      </c>
      <c r="L13" s="69">
        <f>AL20</f>
        <v>49876</v>
      </c>
      <c r="M13" s="69">
        <f t="shared" si="1"/>
        <v>5360</v>
      </c>
      <c r="AA13" s="112" t="s">
        <v>2493</v>
      </c>
      <c r="AB13" s="112" t="s">
        <v>2483</v>
      </c>
      <c r="AC13" t="s">
        <v>2672</v>
      </c>
      <c r="AE13" s="1">
        <v>206</v>
      </c>
      <c r="AF13" s="1">
        <v>117</v>
      </c>
      <c r="AG13" s="6">
        <f t="shared" ref="AG13:AH20" si="2">AE13/AE$21</f>
        <v>0.9196428571428571</v>
      </c>
      <c r="AH13" s="6">
        <f t="shared" si="2"/>
        <v>0.8125</v>
      </c>
      <c r="AI13" t="str">
        <f t="shared" ref="AI13:AI20" si="3">TEXT(AF13,"#,##0")&amp;CHAR(10)&amp;"("&amp;TEXT(AH13,"0%"&amp;")")</f>
        <v>117
(81%)</v>
      </c>
      <c r="AK13" s="1">
        <v>36603</v>
      </c>
      <c r="AL13" s="1">
        <v>37350</v>
      </c>
      <c r="AM13" s="6">
        <f t="shared" ref="AM13:AM20" si="4">AK13/$AK$21</f>
        <v>0.42343509595918699</v>
      </c>
      <c r="AN13" s="6">
        <f t="shared" ref="AN13:AN20" si="5">AL13/AL$21</f>
        <v>0.39869343837064081</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44</v>
      </c>
      <c r="L14" s="69">
        <f t="shared" si="7"/>
        <v>145</v>
      </c>
      <c r="M14" s="69">
        <f t="shared" si="1"/>
        <v>101</v>
      </c>
      <c r="AA14" s="112" t="s">
        <v>2491</v>
      </c>
      <c r="AB14" s="112" t="s">
        <v>2481</v>
      </c>
      <c r="AC14" t="s">
        <v>2673</v>
      </c>
      <c r="AE14" s="1">
        <v>4</v>
      </c>
      <c r="AF14" s="1">
        <v>0</v>
      </c>
      <c r="AG14" s="6">
        <f t="shared" si="2"/>
        <v>1.7857142857142856E-2</v>
      </c>
      <c r="AH14" s="6">
        <f t="shared" si="2"/>
        <v>0</v>
      </c>
      <c r="AI14" t="str">
        <f t="shared" si="3"/>
        <v>0
(0%)</v>
      </c>
      <c r="AK14" s="1">
        <v>1579</v>
      </c>
      <c r="AL14" s="1">
        <v>1725</v>
      </c>
      <c r="AM14" s="6">
        <f t="shared" si="4"/>
        <v>1.826637206020152E-2</v>
      </c>
      <c r="AN14" s="6">
        <f t="shared" si="5"/>
        <v>1.8413552374547667E-2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47</v>
      </c>
      <c r="L15" s="69">
        <f t="shared" si="7"/>
        <v>360</v>
      </c>
      <c r="M15" s="69">
        <f t="shared" si="1"/>
        <v>313</v>
      </c>
      <c r="AA15" s="112" t="s">
        <v>2489</v>
      </c>
      <c r="AB15" s="112" t="s">
        <v>2479</v>
      </c>
      <c r="AC15" t="s">
        <v>2674</v>
      </c>
      <c r="AE15" s="1">
        <v>0</v>
      </c>
      <c r="AF15" s="1">
        <v>0</v>
      </c>
      <c r="AG15" s="6">
        <f t="shared" si="2"/>
        <v>0</v>
      </c>
      <c r="AH15" s="6">
        <f t="shared" si="2"/>
        <v>0</v>
      </c>
      <c r="AI15" t="str">
        <f t="shared" si="3"/>
        <v>0
(0%)</v>
      </c>
      <c r="AK15" s="1">
        <v>297</v>
      </c>
      <c r="AL15" s="1">
        <v>220</v>
      </c>
      <c r="AM15" s="6">
        <f t="shared" si="4"/>
        <v>3.4357900581886329E-3</v>
      </c>
      <c r="AN15" s="6">
        <f t="shared" si="5"/>
        <v>2.3483950854495577E-3</v>
      </c>
      <c r="AP15" s="6"/>
      <c r="AU15" s="38"/>
      <c r="AV15" s="38"/>
      <c r="AX15" s="6"/>
      <c r="AY15" s="6"/>
    </row>
    <row r="16" spans="3:51">
      <c r="C16" s="29" t="str">
        <f>AC19</f>
        <v>Two or more races</v>
      </c>
      <c r="D16" s="29"/>
      <c r="E16" s="29"/>
      <c r="F16" s="29"/>
      <c r="G16" s="69">
        <f t="shared" si="6"/>
        <v>2</v>
      </c>
      <c r="H16" s="69">
        <f t="shared" si="6"/>
        <v>1</v>
      </c>
      <c r="I16" s="69">
        <f t="shared" si="0"/>
        <v>-1</v>
      </c>
      <c r="J16" s="29"/>
      <c r="K16" s="69">
        <f t="shared" si="7"/>
        <v>1586</v>
      </c>
      <c r="L16" s="69">
        <f t="shared" si="7"/>
        <v>2157</v>
      </c>
      <c r="M16" s="69">
        <f t="shared" si="1"/>
        <v>571</v>
      </c>
      <c r="AA16" s="112" t="s">
        <v>2487</v>
      </c>
      <c r="AB16" s="112" t="s">
        <v>2477</v>
      </c>
      <c r="AC16" t="s">
        <v>2666</v>
      </c>
      <c r="AE16" s="1">
        <v>0</v>
      </c>
      <c r="AF16" s="1">
        <v>0</v>
      </c>
      <c r="AG16" s="6">
        <f t="shared" si="2"/>
        <v>0</v>
      </c>
      <c r="AH16" s="6">
        <f t="shared" si="2"/>
        <v>0</v>
      </c>
      <c r="AI16" t="str">
        <f t="shared" si="3"/>
        <v>0
(0%)</v>
      </c>
      <c r="AK16" s="1">
        <v>1771</v>
      </c>
      <c r="AL16" s="1">
        <v>1848</v>
      </c>
      <c r="AM16" s="6">
        <f t="shared" si="4"/>
        <v>2.0487488865495181E-2</v>
      </c>
      <c r="AN16" s="6">
        <f t="shared" si="5"/>
        <v>1.9726518717776285E-2</v>
      </c>
      <c r="AP16" s="6"/>
      <c r="AU16" s="38"/>
      <c r="AV16" s="38"/>
      <c r="AX16" s="6"/>
      <c r="AY16" s="6"/>
    </row>
    <row r="17" spans="3:51">
      <c r="C17" s="29" t="str">
        <f>AC13</f>
        <v>White</v>
      </c>
      <c r="D17" s="29"/>
      <c r="E17" s="29"/>
      <c r="F17" s="29"/>
      <c r="G17" s="69">
        <f>AE13</f>
        <v>206</v>
      </c>
      <c r="H17" s="69">
        <f>AF13</f>
        <v>117</v>
      </c>
      <c r="I17" s="69">
        <f t="shared" si="0"/>
        <v>-89</v>
      </c>
      <c r="J17" s="29"/>
      <c r="K17" s="69">
        <f>AK13</f>
        <v>36603</v>
      </c>
      <c r="L17" s="69">
        <f>AL13</f>
        <v>37350</v>
      </c>
      <c r="M17" s="69">
        <f t="shared" si="1"/>
        <v>747</v>
      </c>
      <c r="AA17" s="112" t="s">
        <v>2485</v>
      </c>
      <c r="AB17" s="112" t="s">
        <v>2475</v>
      </c>
      <c r="AC17" t="s">
        <v>2675</v>
      </c>
      <c r="AE17" s="1">
        <v>0</v>
      </c>
      <c r="AF17" s="1">
        <v>0</v>
      </c>
      <c r="AG17" s="6">
        <f t="shared" si="2"/>
        <v>0</v>
      </c>
      <c r="AH17" s="6">
        <f t="shared" si="2"/>
        <v>0</v>
      </c>
      <c r="AI17" t="str">
        <f t="shared" si="3"/>
        <v>0
(0%)</v>
      </c>
      <c r="AK17" s="1">
        <v>44</v>
      </c>
      <c r="AL17" s="1">
        <v>145</v>
      </c>
      <c r="AM17" s="6">
        <f t="shared" si="4"/>
        <v>5.0900593454646418E-4</v>
      </c>
      <c r="AN17" s="6">
        <f t="shared" si="5"/>
        <v>1.547805851773572E-3</v>
      </c>
      <c r="AP17" s="6"/>
      <c r="AU17" s="38"/>
      <c r="AV17" s="38"/>
      <c r="AX17" s="6"/>
      <c r="AY17" s="6"/>
    </row>
    <row r="18" spans="3:51">
      <c r="C18" s="66"/>
      <c r="D18" s="66"/>
      <c r="E18" s="66"/>
      <c r="F18" s="66" t="s">
        <v>1</v>
      </c>
      <c r="G18" s="72">
        <f>SUM(G10:G17)</f>
        <v>224</v>
      </c>
      <c r="H18" s="72">
        <f>SUM(H10:H17)</f>
        <v>144</v>
      </c>
      <c r="I18" s="72">
        <f>SUM(I10:I17)</f>
        <v>-80</v>
      </c>
      <c r="J18" s="70"/>
      <c r="K18" s="72">
        <f>SUM(K10:K17)</f>
        <v>86443</v>
      </c>
      <c r="L18" s="72">
        <f t="shared" ref="L18:M18" si="8">SUM(L10:L17)</f>
        <v>93681</v>
      </c>
      <c r="M18" s="72">
        <f t="shared" si="8"/>
        <v>7238</v>
      </c>
      <c r="AA18" s="112" t="s">
        <v>2483</v>
      </c>
      <c r="AB18" s="112" t="s">
        <v>2473</v>
      </c>
      <c r="AC18" t="s">
        <v>2706</v>
      </c>
      <c r="AE18" s="1">
        <v>0</v>
      </c>
      <c r="AF18" s="1">
        <v>0</v>
      </c>
      <c r="AG18" s="6">
        <f t="shared" si="2"/>
        <v>0</v>
      </c>
      <c r="AH18" s="6">
        <f t="shared" si="2"/>
        <v>0</v>
      </c>
      <c r="AI18" t="str">
        <f t="shared" si="3"/>
        <v>0
(0%)</v>
      </c>
      <c r="AK18" s="1">
        <v>47</v>
      </c>
      <c r="AL18" s="1">
        <v>360</v>
      </c>
      <c r="AM18" s="6">
        <f t="shared" si="4"/>
        <v>5.4371088462917762E-4</v>
      </c>
      <c r="AN18" s="6">
        <f t="shared" si="5"/>
        <v>3.8428283216447303E-3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v>
      </c>
      <c r="AF19" s="1">
        <v>1</v>
      </c>
      <c r="AG19" s="6">
        <f t="shared" si="2"/>
        <v>8.9285714285714281E-3</v>
      </c>
      <c r="AH19" s="6">
        <f t="shared" si="2"/>
        <v>6.9444444444444441E-3</v>
      </c>
      <c r="AI19" t="str">
        <f t="shared" si="3"/>
        <v>1
(1%)</v>
      </c>
      <c r="AK19" s="1">
        <v>1586</v>
      </c>
      <c r="AL19" s="1">
        <v>2157</v>
      </c>
      <c r="AM19" s="6">
        <f t="shared" si="4"/>
        <v>1.8347350277061185E-2</v>
      </c>
      <c r="AN19" s="6">
        <f t="shared" si="5"/>
        <v>2.3024946360521343E-2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12</v>
      </c>
      <c r="AF20" s="1">
        <v>26</v>
      </c>
      <c r="AG20" s="6">
        <f t="shared" si="2"/>
        <v>5.3571428571428568E-2</v>
      </c>
      <c r="AH20" s="6">
        <f t="shared" si="2"/>
        <v>0.18055555555555555</v>
      </c>
      <c r="AI20" t="str">
        <f t="shared" si="3"/>
        <v>26
(18%)</v>
      </c>
      <c r="AK20" s="1">
        <v>44516</v>
      </c>
      <c r="AL20" s="1">
        <v>49876</v>
      </c>
      <c r="AM20" s="6">
        <f t="shared" si="4"/>
        <v>0.51497518596069081</v>
      </c>
      <c r="AN20" s="6">
        <f t="shared" si="5"/>
        <v>0.53240251491764601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224</v>
      </c>
      <c r="AF21" s="3">
        <v>144</v>
      </c>
      <c r="AK21" s="2">
        <v>86443</v>
      </c>
      <c r="AL21" s="2">
        <v>93681</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Kahlotus</v>
      </c>
      <c r="AH24" s="16" t="str">
        <f>City_label</f>
        <v>Kahlotus</v>
      </c>
      <c r="AK24" s="297" t="str">
        <f>County_label</f>
        <v>Franklin County</v>
      </c>
      <c r="AL24" s="297"/>
      <c r="AM24" s="297" t="str">
        <f>County_label</f>
        <v>Franklin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1771</v>
      </c>
      <c r="AL26" s="5">
        <f>AL16</f>
        <v>1848</v>
      </c>
      <c r="AM26" s="6">
        <f>AK26/$AK$31</f>
        <v>2.0487488865495181E-2</v>
      </c>
      <c r="AN26" s="6">
        <f>AL26/$AL$31</f>
        <v>1.9726518717776285E-2</v>
      </c>
    </row>
    <row r="27" spans="3:51" ht="20.25" customHeight="1">
      <c r="C27" s="50"/>
      <c r="D27" s="50"/>
      <c r="E27" s="50"/>
      <c r="F27" s="50"/>
      <c r="G27" s="50"/>
      <c r="H27" s="50"/>
      <c r="I27" s="50"/>
      <c r="J27" s="50"/>
      <c r="K27" s="50"/>
      <c r="L27" s="305" t="str">
        <f>IF(SUM(AH50,AH65,AN50,AN65)&gt;0, "Recommended", "Optional")</f>
        <v>Recommended</v>
      </c>
      <c r="M27" s="305"/>
      <c r="AC27" t="s">
        <v>2673</v>
      </c>
      <c r="AE27" s="5">
        <f>AE14</f>
        <v>4</v>
      </c>
      <c r="AF27" s="5">
        <f>AF14</f>
        <v>0</v>
      </c>
      <c r="AG27" s="6">
        <f>AE27/$AE$31</f>
        <v>1.7857142857142856E-2</v>
      </c>
      <c r="AH27" s="6">
        <f>AF27/$AF$31</f>
        <v>0</v>
      </c>
      <c r="AI27" t="str">
        <f>TEXT(AF27,"#,##0")&amp;CHAR(10)&amp;"("&amp;TEXT(AH27,"0%"&amp;")")</f>
        <v>0
(0%)</v>
      </c>
      <c r="AK27" s="5">
        <f>AK14</f>
        <v>1579</v>
      </c>
      <c r="AL27" s="5">
        <f>AL14</f>
        <v>1725</v>
      </c>
      <c r="AM27" s="6">
        <f>AK27/$AK$31</f>
        <v>1.826637206020152E-2</v>
      </c>
      <c r="AN27" s="6">
        <f>AL27/$AL$31</f>
        <v>1.8413552374547667E-2</v>
      </c>
    </row>
    <row r="28" spans="3:51">
      <c r="C28" s="50"/>
      <c r="D28" s="50"/>
      <c r="E28" s="50"/>
      <c r="F28" s="50"/>
      <c r="G28" s="50"/>
      <c r="H28" s="50"/>
      <c r="I28" s="50"/>
      <c r="J28" s="50"/>
      <c r="K28" s="50"/>
      <c r="AC28" t="s">
        <v>2790</v>
      </c>
      <c r="AE28" s="5">
        <f>AE20</f>
        <v>12</v>
      </c>
      <c r="AF28" s="5">
        <f>AF20</f>
        <v>26</v>
      </c>
      <c r="AG28" s="6">
        <f>AE28/$AE$31</f>
        <v>5.3571428571428568E-2</v>
      </c>
      <c r="AH28" s="6">
        <f>AF28/$AF$31</f>
        <v>0.18055555555555555</v>
      </c>
      <c r="AI28" t="str">
        <f>TEXT(AF28,"#,##0")&amp;CHAR(10)&amp;"("&amp;TEXT(AH28,"0%"&amp;")")</f>
        <v>26
(18%)</v>
      </c>
      <c r="AK28" s="5">
        <f>AK20</f>
        <v>44516</v>
      </c>
      <c r="AL28" s="5">
        <f>AL20</f>
        <v>49876</v>
      </c>
      <c r="AM28" s="6">
        <f>AK28/$AK$31</f>
        <v>0.51497518596069081</v>
      </c>
      <c r="AN28" s="6">
        <f>AL28/$AL$31</f>
        <v>0.53240251491764601</v>
      </c>
    </row>
    <row r="29" spans="3:51" ht="18" customHeight="1">
      <c r="C29" s="301" t="str">
        <f>"Chart 1. "&amp; City_label &amp; " population by race and Hispanic or Latino ethnicity, 2020"</f>
        <v>Chart 1. Kahlotus population by race and Hispanic or Latino ethnicity, 2020</v>
      </c>
      <c r="D29" s="301"/>
      <c r="E29" s="301"/>
      <c r="F29" s="301"/>
      <c r="G29" s="301"/>
      <c r="H29" s="301"/>
      <c r="I29" s="301"/>
      <c r="J29" s="301"/>
      <c r="K29" s="301"/>
      <c r="L29" s="301"/>
      <c r="M29" s="301"/>
      <c r="AC29" t="s">
        <v>2706</v>
      </c>
      <c r="AE29" s="5">
        <f>SUM(AE15,AE17,AE18,AE19)</f>
        <v>2</v>
      </c>
      <c r="AF29" s="5">
        <f>SUM(AF15,AF17,AF18,AF19)</f>
        <v>1</v>
      </c>
      <c r="AG29" s="6">
        <f>AE29/$AE$31</f>
        <v>8.9285714285714281E-3</v>
      </c>
      <c r="AH29" s="6">
        <f>AF29/$AF$31</f>
        <v>6.9444444444444441E-3</v>
      </c>
      <c r="AI29" t="str">
        <f>TEXT(AF29,"#,##0")&amp;CHAR(10)&amp;"("&amp;TEXT(AH29,"0%"&amp;")")</f>
        <v>1
(1%)</v>
      </c>
      <c r="AK29" s="5">
        <f>SUM(AK15,AK17,AK18,AK19)</f>
        <v>1974</v>
      </c>
      <c r="AL29" s="5">
        <f>SUM(AL15,AL17,AL18,AL19)</f>
        <v>2882</v>
      </c>
      <c r="AM29" s="6">
        <f>AK29/$AK$31</f>
        <v>2.283585715442546E-2</v>
      </c>
      <c r="AN29" s="6">
        <f>AL29/$AL$31</f>
        <v>3.0763975619389202E-2</v>
      </c>
    </row>
    <row r="30" spans="3:51" ht="18" customHeight="1">
      <c r="C30" s="301"/>
      <c r="D30" s="301"/>
      <c r="E30" s="301"/>
      <c r="F30" s="301"/>
      <c r="G30" s="301"/>
      <c r="H30" s="301"/>
      <c r="I30" s="301"/>
      <c r="J30" s="301"/>
      <c r="K30" s="301"/>
      <c r="L30" s="301"/>
      <c r="M30" s="301"/>
      <c r="AC30" t="s">
        <v>2672</v>
      </c>
      <c r="AE30" s="5">
        <f>AE13</f>
        <v>206</v>
      </c>
      <c r="AF30" s="5">
        <f>AF13</f>
        <v>117</v>
      </c>
      <c r="AG30" s="6">
        <f>AE30/$AE$31</f>
        <v>0.9196428571428571</v>
      </c>
      <c r="AH30" s="6">
        <f>AF30/$AF$31</f>
        <v>0.8125</v>
      </c>
      <c r="AI30" t="str">
        <f>TEXT(AF30,"#,##0")&amp;CHAR(10)&amp;"("&amp;TEXT(AH30,"0%"&amp;")")</f>
        <v>117
(81%)</v>
      </c>
      <c r="AK30" s="5">
        <f>AK13</f>
        <v>36603</v>
      </c>
      <c r="AL30" s="5">
        <f>AL13</f>
        <v>37350</v>
      </c>
      <c r="AM30" s="6">
        <f>AK30/$AK$31</f>
        <v>0.42343509595918699</v>
      </c>
      <c r="AN30" s="6">
        <f>AL30/$AL$31</f>
        <v>0.39869343837064081</v>
      </c>
    </row>
    <row r="31" spans="3:51" ht="15">
      <c r="AC31" t="s">
        <v>2667</v>
      </c>
      <c r="AE31" s="37">
        <f>SUM(AE26:AE30)</f>
        <v>224</v>
      </c>
      <c r="AF31" s="37">
        <f>SUM(AF26:AF30)</f>
        <v>144</v>
      </c>
      <c r="AK31" s="37">
        <f>SUM(AK26:AK30)</f>
        <v>86443</v>
      </c>
      <c r="AL31" s="37">
        <f>SUM(AL26:AL30)</f>
        <v>93681</v>
      </c>
    </row>
    <row r="32" spans="3:51" ht="15">
      <c r="C32" s="16"/>
    </row>
    <row r="33" spans="27:40">
      <c r="AE33" s="5"/>
      <c r="AF33" s="5"/>
      <c r="AG33" s="6"/>
      <c r="AH33" s="6"/>
      <c r="AK33" s="5"/>
      <c r="AL33" s="5"/>
      <c r="AM33" s="6"/>
      <c r="AN33" s="6"/>
    </row>
    <row r="35" spans="27:40" ht="15">
      <c r="AF35" s="47" t="str">
        <f>City_label</f>
        <v>Kahlotus</v>
      </c>
      <c r="AG35" s="297" t="str">
        <f>City_label</f>
        <v>Kahlotus</v>
      </c>
      <c r="AH35" s="297"/>
      <c r="AL35" s="16" t="str">
        <f>County_label</f>
        <v>Franklin County</v>
      </c>
      <c r="AM35" s="297" t="str">
        <f>County_label</f>
        <v>Franklin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12</v>
      </c>
      <c r="AF37" s="5">
        <f>AF20</f>
        <v>26</v>
      </c>
      <c r="AG37" s="6">
        <f>AG20</f>
        <v>5.3571428571428568E-2</v>
      </c>
      <c r="AH37" s="6">
        <f>AH20</f>
        <v>0.18055555555555555</v>
      </c>
      <c r="AI37" t="str">
        <f>TEXT(AF37,"#,##0")&amp;CHAR(10)&amp;"("&amp;TEXT(AH37,"0%"&amp;")")</f>
        <v>26
(18%)</v>
      </c>
      <c r="AK37" s="5">
        <f>AK20</f>
        <v>44516</v>
      </c>
      <c r="AL37" s="5">
        <f>AL20</f>
        <v>49876</v>
      </c>
      <c r="AM37" s="6">
        <f>AM20</f>
        <v>0.51497518596069081</v>
      </c>
      <c r="AN37" s="6">
        <f>AN20</f>
        <v>0.53240251491764601</v>
      </c>
    </row>
    <row r="38" spans="27:40">
      <c r="AC38" t="s">
        <v>2739</v>
      </c>
      <c r="AE38" s="5">
        <f>SUM(AE14:AE19)</f>
        <v>6</v>
      </c>
      <c r="AF38" s="5">
        <f>SUM(AF14:AF19)</f>
        <v>1</v>
      </c>
      <c r="AG38" s="6">
        <f>SUM(AG14:AG19)</f>
        <v>2.6785714285714284E-2</v>
      </c>
      <c r="AH38" s="6">
        <f>SUM(AH14:AH19)</f>
        <v>6.9444444444444441E-3</v>
      </c>
      <c r="AI38" t="str">
        <f>TEXT(AF38,"#,##0")&amp;CHAR(10)&amp;"("&amp;TEXT(AH38,"0%"&amp;")")</f>
        <v>1
(1%)</v>
      </c>
      <c r="AK38" s="5">
        <f>SUM(AK14:AK19)</f>
        <v>5324</v>
      </c>
      <c r="AL38" s="5">
        <f>SUM(AL14:AL19)</f>
        <v>6455</v>
      </c>
      <c r="AM38" s="6">
        <f>SUM(AM14:AM19)</f>
        <v>6.1589718080122154E-2</v>
      </c>
      <c r="AN38" s="6">
        <f>SUM(AN14:AN19)</f>
        <v>6.8904046711713157E-2</v>
      </c>
    </row>
    <row r="39" spans="27:40">
      <c r="AC39" t="s">
        <v>2672</v>
      </c>
      <c r="AE39" s="5">
        <f>AE13</f>
        <v>206</v>
      </c>
      <c r="AF39" s="5">
        <f>AF13</f>
        <v>117</v>
      </c>
      <c r="AG39" s="6">
        <f>AG13</f>
        <v>0.9196428571428571</v>
      </c>
      <c r="AH39" s="6">
        <f>AH13</f>
        <v>0.8125</v>
      </c>
      <c r="AI39" t="str">
        <f>TEXT(AF39,"#,##0")&amp;CHAR(10)&amp;"("&amp;TEXT(AH39,"0%"&amp;")")</f>
        <v>117
(81%)</v>
      </c>
      <c r="AK39" s="5">
        <f>AK13</f>
        <v>36603</v>
      </c>
      <c r="AL39" s="5">
        <f>AL13</f>
        <v>37350</v>
      </c>
      <c r="AM39" s="6">
        <f>AM13</f>
        <v>0.42343509595918699</v>
      </c>
      <c r="AN39" s="6">
        <f>AN13</f>
        <v>0.39869343837064081</v>
      </c>
    </row>
    <row r="40" spans="27:40" ht="14.25" customHeight="1">
      <c r="AD40" t="s">
        <v>2667</v>
      </c>
      <c r="AE40" s="37">
        <f>SUM(AE37:AE38)</f>
        <v>18</v>
      </c>
      <c r="AF40" s="37">
        <f>SUM(AF37:AF38)</f>
        <v>27</v>
      </c>
      <c r="AG40" s="53">
        <f>SUM(AG37:AG38)</f>
        <v>8.0357142857142849E-2</v>
      </c>
      <c r="AH40" s="53">
        <f>SUM(AH37:AH38)</f>
        <v>0.1875</v>
      </c>
      <c r="AK40" s="37">
        <f>SUM(AK37:AK38)</f>
        <v>49840</v>
      </c>
      <c r="AL40" s="37">
        <f>SUM(AL37:AL38)</f>
        <v>56331</v>
      </c>
      <c r="AM40" s="53">
        <f>SUM(AM37:AM38)</f>
        <v>0.57656490404081295</v>
      </c>
      <c r="AN40" s="53">
        <f>SUM(AN37:AN38)</f>
        <v>0.60130656162935914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Kahlotus</v>
      </c>
      <c r="AF49" s="36" t="str">
        <f>City_label</f>
        <v>Kahlotus</v>
      </c>
      <c r="AG49" s="36" t="str">
        <f>City_label</f>
        <v>Kahlotus</v>
      </c>
      <c r="AH49" s="98" t="str">
        <f>IF(AH50&gt;=1, "Small Numbers", "")</f>
        <v>Small Numbers</v>
      </c>
      <c r="AK49" s="36" t="str">
        <f>City_label</f>
        <v>Kahlotus</v>
      </c>
      <c r="AL49" s="36" t="str">
        <f>City_label</f>
        <v>Kahlotus</v>
      </c>
      <c r="AM49" s="36" t="str">
        <f>City_label</f>
        <v>Kahlotus</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206</v>
      </c>
      <c r="AF52" s="1">
        <v>80</v>
      </c>
      <c r="AG52" s="6">
        <f t="shared" ref="AG52:AG60" si="9">IFERROR(((AF52/1.645)/AE52), 0)</f>
        <v>0.23607873225720777</v>
      </c>
      <c r="AH52" s="98">
        <f>IF(AG52&gt;MOE_Threshold, 1, 0)</f>
        <v>0</v>
      </c>
      <c r="AK52" s="1">
        <v>117</v>
      </c>
      <c r="AL52" s="1">
        <v>54</v>
      </c>
      <c r="AM52" s="6">
        <f t="shared" ref="AM52:AM60" si="10">IFERROR(((AL52/1.645)/AK52), 0)</f>
        <v>0.28057049333645079</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4</v>
      </c>
      <c r="AF53" s="1">
        <v>7</v>
      </c>
      <c r="AG53" s="6">
        <f t="shared" si="9"/>
        <v>1.0638297872340425</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Kahlotus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v>
      </c>
      <c r="AF58" s="1">
        <v>4</v>
      </c>
      <c r="AG58" s="6">
        <f t="shared" si="9"/>
        <v>1.21580547112462</v>
      </c>
      <c r="AH58" s="98"/>
      <c r="AK58" s="1">
        <v>1</v>
      </c>
      <c r="AL58" s="1">
        <v>4</v>
      </c>
      <c r="AM58" s="6">
        <f t="shared" si="10"/>
        <v>2.43161094224924</v>
      </c>
      <c r="AN58" s="98"/>
    </row>
    <row r="59" spans="3:40">
      <c r="AA59" s="112" t="s">
        <v>2496</v>
      </c>
      <c r="AB59" s="112" t="s">
        <v>2494</v>
      </c>
      <c r="AC59" t="s">
        <v>2790</v>
      </c>
      <c r="AE59" s="1">
        <v>12</v>
      </c>
      <c r="AF59" s="1">
        <v>13</v>
      </c>
      <c r="AG59" s="6">
        <f t="shared" si="9"/>
        <v>0.6585612968591692</v>
      </c>
      <c r="AH59" s="98">
        <f>IF(AG59&gt;MOE_Threshold, 1, 0)</f>
        <v>1</v>
      </c>
      <c r="AK59" s="1">
        <v>26</v>
      </c>
      <c r="AL59" s="1">
        <v>26</v>
      </c>
      <c r="AM59" s="6">
        <f t="shared" si="10"/>
        <v>0.60790273556231</v>
      </c>
      <c r="AN59" s="98">
        <f>IF(AM59&gt;MOE_Threshold, 1, 0)</f>
        <v>1</v>
      </c>
    </row>
    <row r="60" spans="3:40" ht="15">
      <c r="AA60" s="112" t="s">
        <v>2500</v>
      </c>
      <c r="AB60" s="112" t="s">
        <v>2498</v>
      </c>
      <c r="AC60" s="16" t="s">
        <v>2667</v>
      </c>
      <c r="AE60" s="2">
        <v>224</v>
      </c>
      <c r="AF60" s="2">
        <v>80</v>
      </c>
      <c r="AG60" s="6">
        <f t="shared" si="9"/>
        <v>0.21710811984368214</v>
      </c>
      <c r="AH60" s="98">
        <f>IF(AG60&gt;MOE_Threshold, 1, 0)</f>
        <v>0</v>
      </c>
      <c r="AK60" s="2">
        <v>144</v>
      </c>
      <c r="AL60" s="2">
        <v>61</v>
      </c>
      <c r="AM60" s="6">
        <f t="shared" si="10"/>
        <v>0.2575143532590341</v>
      </c>
      <c r="AN60" s="98">
        <f>IF(AM60&gt;MOE_Threshold, 1, 0)</f>
        <v>0</v>
      </c>
    </row>
    <row r="61" spans="3:40">
      <c r="AE61" s="1"/>
      <c r="AF61" s="1"/>
      <c r="AK61" s="1"/>
      <c r="AL61" s="1"/>
      <c r="AN61" s="98"/>
    </row>
    <row r="62" spans="3:40">
      <c r="AN62" s="98"/>
    </row>
    <row r="63" spans="3:40">
      <c r="AN63" s="98"/>
    </row>
    <row r="64" spans="3:40" ht="15">
      <c r="AF64" s="36" t="str">
        <f>County_label</f>
        <v>Franklin County</v>
      </c>
      <c r="AG64" s="36" t="str">
        <f>County_label</f>
        <v>Franklin County</v>
      </c>
      <c r="AH64" t="str">
        <f>IF(AH65&gt;=1, "Small Numbers", "")</f>
        <v/>
      </c>
      <c r="AK64" s="36" t="str">
        <f>County_label</f>
        <v>Franklin County</v>
      </c>
      <c r="AL64" s="36" t="str">
        <f>County_label</f>
        <v>Franklin County</v>
      </c>
      <c r="AM64" s="36" t="str">
        <f>County_label</f>
        <v>Franklin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36603</v>
      </c>
      <c r="AF67" s="1">
        <v>228</v>
      </c>
      <c r="AG67" s="6">
        <f t="shared" ref="AG67:AG75" si="11">IFERROR(((AF67/1.645)/AE67), 0)</f>
        <v>3.7866246949213641E-3</v>
      </c>
      <c r="AH67" s="98">
        <f>IF(AG67&gt;MOE_Threshold, 1, 0)</f>
        <v>0</v>
      </c>
      <c r="AK67" s="1">
        <v>37350</v>
      </c>
      <c r="AL67" s="1">
        <v>386</v>
      </c>
      <c r="AM67" s="6">
        <f t="shared" ref="AM67:AM75" si="12">IFERROR(((AL67/1.645)/AK67), 0)</f>
        <v>6.2824753929598843E-3</v>
      </c>
      <c r="AN67" s="98">
        <f>IF(AM67&gt;MOE_Threshold, 1, 0)</f>
        <v>0</v>
      </c>
    </row>
    <row r="68" spans="3:40">
      <c r="AA68" s="112" t="s">
        <v>2490</v>
      </c>
      <c r="AB68" s="112" t="s">
        <v>2480</v>
      </c>
      <c r="AC68" t="s">
        <v>2673</v>
      </c>
      <c r="AE68" s="1">
        <v>1579</v>
      </c>
      <c r="AF68" s="1">
        <v>180</v>
      </c>
      <c r="AG68" s="6">
        <f t="shared" si="11"/>
        <v>6.9298601900706649E-2</v>
      </c>
      <c r="AH68" s="98">
        <f>IF(AG68&gt;MOE_Threshold, 1, 0)</f>
        <v>0</v>
      </c>
      <c r="AK68" s="1">
        <v>1725</v>
      </c>
      <c r="AL68" s="1">
        <v>249</v>
      </c>
      <c r="AM68" s="6">
        <f t="shared" si="12"/>
        <v>8.7749438350733441E-2</v>
      </c>
      <c r="AN68" s="98">
        <f>IF(AM68&gt;MOE_Threshold, 1, 0)</f>
        <v>0</v>
      </c>
    </row>
    <row r="69" spans="3:40">
      <c r="AA69" s="112" t="s">
        <v>2488</v>
      </c>
      <c r="AB69" s="112" t="s">
        <v>2478</v>
      </c>
      <c r="AC69" t="s">
        <v>2674</v>
      </c>
      <c r="AE69" s="1">
        <v>297</v>
      </c>
      <c r="AF69" s="1">
        <v>115</v>
      </c>
      <c r="AG69" s="6">
        <f t="shared" si="11"/>
        <v>0.23538321410661836</v>
      </c>
      <c r="AH69" s="98"/>
      <c r="AK69" s="1">
        <v>220</v>
      </c>
      <c r="AL69" s="1">
        <v>90</v>
      </c>
      <c r="AM69" s="6">
        <f t="shared" si="12"/>
        <v>0.24868748273003591</v>
      </c>
      <c r="AN69" s="98"/>
    </row>
    <row r="70" spans="3:40">
      <c r="AA70" s="112" t="s">
        <v>2486</v>
      </c>
      <c r="AB70" s="112" t="s">
        <v>2476</v>
      </c>
      <c r="AC70" t="s">
        <v>2666</v>
      </c>
      <c r="AE70" s="1">
        <v>1771</v>
      </c>
      <c r="AF70" s="1">
        <v>169</v>
      </c>
      <c r="AG70" s="6">
        <f t="shared" si="11"/>
        <v>5.8009916606454201E-2</v>
      </c>
      <c r="AH70" s="98">
        <f>IF(AG70&gt;MOE_Threshold, 1, 0)</f>
        <v>0</v>
      </c>
      <c r="AK70" s="1">
        <v>1848</v>
      </c>
      <c r="AL70" s="1">
        <v>304</v>
      </c>
      <c r="AM70" s="6">
        <f t="shared" si="12"/>
        <v>0.10000131580678694</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44</v>
      </c>
      <c r="AF71" s="1">
        <v>31</v>
      </c>
      <c r="AG71" s="6">
        <f t="shared" si="11"/>
        <v>0.42829510914617297</v>
      </c>
      <c r="AH71" s="98"/>
      <c r="AK71" s="1">
        <v>145</v>
      </c>
      <c r="AL71" s="1">
        <v>72</v>
      </c>
      <c r="AM71" s="6">
        <f t="shared" si="12"/>
        <v>0.30185515145162978</v>
      </c>
      <c r="AN71" s="98"/>
    </row>
    <row r="72" spans="3:40">
      <c r="C72" s="298"/>
      <c r="D72" s="298"/>
      <c r="E72" s="298"/>
      <c r="F72" s="298"/>
      <c r="G72" s="298"/>
      <c r="H72" s="298"/>
      <c r="I72" s="298"/>
      <c r="J72" s="298"/>
      <c r="K72" s="298"/>
      <c r="AA72" s="112" t="s">
        <v>2482</v>
      </c>
      <c r="AB72" s="112" t="s">
        <v>2472</v>
      </c>
      <c r="AC72" t="s">
        <v>2706</v>
      </c>
      <c r="AE72" s="1">
        <v>47</v>
      </c>
      <c r="AF72" s="1">
        <v>46</v>
      </c>
      <c r="AG72" s="6">
        <f t="shared" si="11"/>
        <v>0.59496863480566509</v>
      </c>
      <c r="AH72" s="98"/>
      <c r="AK72" s="1">
        <v>360</v>
      </c>
      <c r="AL72" s="1">
        <v>384</v>
      </c>
      <c r="AM72" s="6">
        <f t="shared" si="12"/>
        <v>0.64842958459979738</v>
      </c>
      <c r="AN72" s="98"/>
    </row>
    <row r="73" spans="3:40">
      <c r="AA73" s="112" t="s">
        <v>2480</v>
      </c>
      <c r="AB73" s="112" t="s">
        <v>2470</v>
      </c>
      <c r="AC73" t="s">
        <v>2665</v>
      </c>
      <c r="AE73" s="1">
        <v>1586</v>
      </c>
      <c r="AF73" s="1">
        <v>383</v>
      </c>
      <c r="AG73" s="6">
        <f t="shared" si="11"/>
        <v>0.14680122807084789</v>
      </c>
      <c r="AH73" s="98"/>
      <c r="AK73" s="1">
        <v>2157</v>
      </c>
      <c r="AL73" s="1">
        <v>449</v>
      </c>
      <c r="AM73" s="6">
        <f t="shared" si="12"/>
        <v>0.1265407177874257</v>
      </c>
      <c r="AN73" s="98"/>
    </row>
    <row r="74" spans="3:40" ht="18" customHeight="1">
      <c r="C74" s="301" t="str">
        <f>"Table 2. Racial composition percentage of "&amp; City_label &amp; " and " &amp; County_label&amp; " 2015 and 2020"</f>
        <v>Table 2. Racial composition percentage of Kahlotus and Franklin County 2015 and 2020</v>
      </c>
      <c r="D74" s="301"/>
      <c r="E74" s="301"/>
      <c r="F74" s="301"/>
      <c r="G74" s="301"/>
      <c r="H74" s="301"/>
      <c r="I74" s="301"/>
      <c r="J74" s="301"/>
      <c r="K74" s="301"/>
      <c r="L74" s="301"/>
      <c r="M74" s="301"/>
      <c r="AA74" s="112" t="s">
        <v>2496</v>
      </c>
      <c r="AB74" s="112" t="s">
        <v>2494</v>
      </c>
      <c r="AC74" t="s">
        <v>2790</v>
      </c>
      <c r="AE74" s="1">
        <v>44516</v>
      </c>
      <c r="AF74" s="1" t="s">
        <v>2425</v>
      </c>
      <c r="AG74" s="6">
        <f t="shared" si="11"/>
        <v>0</v>
      </c>
      <c r="AH74" s="98">
        <f>IF(AG74&gt;MOE_Threshold, 1, 0)</f>
        <v>0</v>
      </c>
      <c r="AK74" s="1">
        <v>49876</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86443</v>
      </c>
      <c r="AF75" s="1" t="s">
        <v>2425</v>
      </c>
      <c r="AG75" s="6">
        <f t="shared" si="11"/>
        <v>0</v>
      </c>
      <c r="AH75" s="98">
        <f>IF(AG75&gt;MOE_Threshold, 1, 0)</f>
        <v>0</v>
      </c>
      <c r="AK75" s="2">
        <v>93681</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Kahlotus</v>
      </c>
      <c r="G77" s="303"/>
      <c r="H77" s="303" t="str">
        <f>County_label</f>
        <v>Franklin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2.0487488865495181E-2</v>
      </c>
      <c r="I79" s="179">
        <f t="shared" si="14"/>
        <v>1.9726518717776285E-2</v>
      </c>
    </row>
    <row r="80" spans="3:40">
      <c r="C80" s="29" t="s">
        <v>2673</v>
      </c>
      <c r="D80" s="29"/>
      <c r="E80" s="29"/>
      <c r="F80" s="101">
        <f t="shared" si="13"/>
        <v>1.7857142857142856E-2</v>
      </c>
      <c r="G80" s="101">
        <f t="shared" si="13"/>
        <v>0</v>
      </c>
      <c r="H80" s="101">
        <f t="shared" si="14"/>
        <v>1.826637206020152E-2</v>
      </c>
      <c r="I80" s="101">
        <f t="shared" si="14"/>
        <v>1.8413552374547667E-2</v>
      </c>
    </row>
    <row r="81" spans="3:10">
      <c r="C81" s="29" t="s">
        <v>2790</v>
      </c>
      <c r="D81" s="29"/>
      <c r="E81" s="29"/>
      <c r="F81" s="179">
        <f t="shared" si="13"/>
        <v>5.3571428571428568E-2</v>
      </c>
      <c r="G81" s="179">
        <f t="shared" si="13"/>
        <v>0.18055555555555555</v>
      </c>
      <c r="H81" s="179">
        <f t="shared" si="14"/>
        <v>0.51497518596069081</v>
      </c>
      <c r="I81" s="179">
        <f t="shared" si="14"/>
        <v>0.53240251491764601</v>
      </c>
    </row>
    <row r="82" spans="3:10">
      <c r="C82" s="29" t="s">
        <v>2706</v>
      </c>
      <c r="D82" s="29"/>
      <c r="E82" s="29"/>
      <c r="F82" s="101">
        <f t="shared" si="13"/>
        <v>8.9285714285714281E-3</v>
      </c>
      <c r="G82" s="101">
        <f t="shared" si="13"/>
        <v>6.9444444444444441E-3</v>
      </c>
      <c r="H82" s="101">
        <f t="shared" si="14"/>
        <v>2.283585715442546E-2</v>
      </c>
      <c r="I82" s="101">
        <f t="shared" si="14"/>
        <v>3.0763975619389202E-2</v>
      </c>
    </row>
    <row r="83" spans="3:10" ht="13.9" customHeight="1">
      <c r="C83" s="29" t="s">
        <v>2672</v>
      </c>
      <c r="D83" s="29"/>
      <c r="E83" s="29"/>
      <c r="F83" s="179">
        <f t="shared" si="13"/>
        <v>0.9196428571428571</v>
      </c>
      <c r="G83" s="179">
        <f t="shared" si="13"/>
        <v>0.8125</v>
      </c>
      <c r="H83" s="179">
        <f t="shared" si="14"/>
        <v>0.42343509595918699</v>
      </c>
      <c r="I83" s="179">
        <f t="shared" si="14"/>
        <v>0.39869343837064081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Kahlotus and Franklin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Kahlotus and Franklin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Kahlotus and Franklin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Kahlotus number of households by housing cost burden, 2019</v>
      </c>
      <c r="J4" t="s">
        <v>2791</v>
      </c>
      <c r="R4" s="16" t="s">
        <v>2702</v>
      </c>
      <c r="S4" s="52" t="str">
        <f>City</f>
        <v>Kahlotus city, Washington</v>
      </c>
    </row>
    <row r="5" spans="3:66" ht="15.75" customHeight="1" thickBot="1">
      <c r="R5" s="16" t="s">
        <v>2703</v>
      </c>
      <c r="S5" s="52" t="str">
        <f>County</f>
        <v>Franklin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30</v>
      </c>
      <c r="G10" s="102">
        <f t="shared" si="0"/>
        <v>0</v>
      </c>
      <c r="H10" s="102">
        <f t="shared" si="0"/>
        <v>0</v>
      </c>
      <c r="I10" s="102">
        <f t="shared" si="0"/>
        <v>0</v>
      </c>
      <c r="J10" s="102">
        <f t="shared" si="0"/>
        <v>0</v>
      </c>
      <c r="K10" s="102">
        <f t="shared" si="0"/>
        <v>0</v>
      </c>
      <c r="L10" s="102">
        <f t="shared" si="0"/>
        <v>10</v>
      </c>
      <c r="M10" s="102">
        <f>SUM(F10:L10)</f>
        <v>40</v>
      </c>
      <c r="S10" s="33" t="s">
        <v>12</v>
      </c>
      <c r="T10" s="5">
        <f t="shared" ref="T10:AA13" si="1">T30+T50</f>
        <v>40</v>
      </c>
      <c r="U10" s="5">
        <f t="shared" si="1"/>
        <v>0</v>
      </c>
      <c r="V10" s="5">
        <f t="shared" si="1"/>
        <v>0</v>
      </c>
      <c r="W10" s="5">
        <f t="shared" si="1"/>
        <v>0</v>
      </c>
      <c r="X10" s="5">
        <f t="shared" si="1"/>
        <v>0</v>
      </c>
      <c r="Y10" s="5">
        <f t="shared" si="1"/>
        <v>0</v>
      </c>
      <c r="Z10" s="5">
        <f t="shared" si="1"/>
        <v>14</v>
      </c>
      <c r="AA10" s="5">
        <f t="shared" si="1"/>
        <v>54</v>
      </c>
      <c r="AB10" s="5"/>
      <c r="AC10" s="5"/>
      <c r="AD10" s="33" t="s">
        <v>12</v>
      </c>
      <c r="AE10" s="5">
        <f>V10</f>
        <v>0</v>
      </c>
      <c r="AF10" s="5">
        <f>U10</f>
        <v>0</v>
      </c>
      <c r="AG10" s="5">
        <f>'Cost Burden'!Z10</f>
        <v>14</v>
      </c>
      <c r="AH10" s="5">
        <f>SUM(W10:Y10)</f>
        <v>0</v>
      </c>
      <c r="AI10" s="5">
        <f t="shared" ref="AI10" si="2">SUM(U10:Z10)</f>
        <v>14</v>
      </c>
      <c r="AJ10" s="5">
        <f>T10</f>
        <v>40</v>
      </c>
      <c r="AK10" s="5">
        <f t="shared" ref="AK10" si="3">SUM(AJ10,AE10:AH10)</f>
        <v>54</v>
      </c>
      <c r="AQ10" s="31"/>
      <c r="BC10" s="41"/>
      <c r="BG10" s="311"/>
      <c r="BH10" s="311"/>
      <c r="BI10" s="311"/>
    </row>
    <row r="11" spans="3:66" ht="13.9" customHeight="1">
      <c r="C11" s="69" t="str">
        <f>S36</f>
        <v>Total Cost-Burdened</v>
      </c>
      <c r="D11" s="29"/>
      <c r="E11" s="29"/>
      <c r="F11" s="102">
        <f>T36</f>
        <v>10</v>
      </c>
      <c r="G11" s="102">
        <f t="shared" ref="G11:L11" si="4">U36</f>
        <v>0</v>
      </c>
      <c r="H11" s="102">
        <f t="shared" si="4"/>
        <v>0</v>
      </c>
      <c r="I11" s="102">
        <f t="shared" si="4"/>
        <v>0</v>
      </c>
      <c r="J11" s="102">
        <f t="shared" si="4"/>
        <v>0</v>
      </c>
      <c r="K11" s="102">
        <f t="shared" si="4"/>
        <v>0</v>
      </c>
      <c r="L11" s="102">
        <f t="shared" si="4"/>
        <v>0</v>
      </c>
      <c r="M11" s="102">
        <f t="shared" ref="M11:M14" si="5">SUM(F11:L11)</f>
        <v>10</v>
      </c>
      <c r="S11" s="33" t="s">
        <v>1981</v>
      </c>
      <c r="T11" s="5">
        <f t="shared" si="1"/>
        <v>10</v>
      </c>
      <c r="U11" s="5">
        <f t="shared" si="1"/>
        <v>0</v>
      </c>
      <c r="V11" s="5">
        <f t="shared" si="1"/>
        <v>0</v>
      </c>
      <c r="W11" s="5">
        <f t="shared" si="1"/>
        <v>0</v>
      </c>
      <c r="X11" s="5">
        <f t="shared" si="1"/>
        <v>0</v>
      </c>
      <c r="Y11" s="5">
        <f t="shared" si="1"/>
        <v>0</v>
      </c>
      <c r="Z11" s="5">
        <f t="shared" si="1"/>
        <v>0</v>
      </c>
      <c r="AA11" s="5">
        <f t="shared" si="1"/>
        <v>10</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10</v>
      </c>
      <c r="AK11" s="5">
        <f t="shared" ref="AK11:AK13" si="11">SUM(AJ11,AE11:AH11)</f>
        <v>10</v>
      </c>
      <c r="AQ11" s="31"/>
      <c r="BC11" s="41"/>
      <c r="BH11" s="197"/>
    </row>
    <row r="12" spans="3:66">
      <c r="C12" s="117" t="str">
        <f>S31</f>
        <v>Cost-Burdened (30-50%)</v>
      </c>
      <c r="D12" s="118"/>
      <c r="E12" s="118"/>
      <c r="F12" s="214">
        <f t="shared" ref="F12:L14" si="12">T31</f>
        <v>10</v>
      </c>
      <c r="G12" s="214">
        <f t="shared" si="12"/>
        <v>0</v>
      </c>
      <c r="H12" s="214">
        <f t="shared" si="12"/>
        <v>0</v>
      </c>
      <c r="I12" s="214">
        <f t="shared" si="12"/>
        <v>0</v>
      </c>
      <c r="J12" s="214">
        <f t="shared" si="12"/>
        <v>0</v>
      </c>
      <c r="K12" s="214">
        <f t="shared" si="12"/>
        <v>0</v>
      </c>
      <c r="L12" s="214">
        <f t="shared" si="12"/>
        <v>0</v>
      </c>
      <c r="M12" s="214">
        <f t="shared" si="5"/>
        <v>10</v>
      </c>
      <c r="S12" s="33" t="s">
        <v>1982</v>
      </c>
      <c r="T12" s="5">
        <f t="shared" si="1"/>
        <v>4</v>
      </c>
      <c r="U12" s="5">
        <f t="shared" si="1"/>
        <v>0</v>
      </c>
      <c r="V12" s="5">
        <f t="shared" si="1"/>
        <v>0</v>
      </c>
      <c r="W12" s="5">
        <f t="shared" si="1"/>
        <v>0</v>
      </c>
      <c r="X12" s="5">
        <f t="shared" si="1"/>
        <v>0</v>
      </c>
      <c r="Y12" s="5">
        <f t="shared" si="1"/>
        <v>0</v>
      </c>
      <c r="Z12" s="5">
        <f t="shared" si="1"/>
        <v>4</v>
      </c>
      <c r="AA12" s="5">
        <f t="shared" si="1"/>
        <v>8</v>
      </c>
      <c r="AB12" s="5"/>
      <c r="AC12" s="5"/>
      <c r="AD12" s="33" t="s">
        <v>1982</v>
      </c>
      <c r="AE12" s="5">
        <f t="shared" si="6"/>
        <v>0</v>
      </c>
      <c r="AF12" s="5">
        <f t="shared" si="7"/>
        <v>0</v>
      </c>
      <c r="AG12" s="5">
        <f>'Cost Burden'!Z12</f>
        <v>4</v>
      </c>
      <c r="AH12" s="5">
        <f t="shared" si="8"/>
        <v>0</v>
      </c>
      <c r="AI12" s="5">
        <f t="shared" si="9"/>
        <v>4</v>
      </c>
      <c r="AJ12" s="5">
        <f t="shared" si="10"/>
        <v>4</v>
      </c>
      <c r="AK12" s="5">
        <f t="shared" si="11"/>
        <v>8</v>
      </c>
      <c r="AQ12" s="31"/>
      <c r="BC12" s="41"/>
      <c r="BG12" s="311" t="s">
        <v>1981</v>
      </c>
      <c r="BH12" s="311"/>
      <c r="BI12" s="311"/>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0</v>
      </c>
      <c r="L13" s="214">
        <f t="shared" si="12"/>
        <v>0</v>
      </c>
      <c r="M13" s="214">
        <f t="shared" si="5"/>
        <v>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54</v>
      </c>
      <c r="U14" s="37">
        <f t="shared" si="13"/>
        <v>0</v>
      </c>
      <c r="V14" s="37">
        <f t="shared" si="13"/>
        <v>0</v>
      </c>
      <c r="W14" s="37">
        <f t="shared" si="13"/>
        <v>0</v>
      </c>
      <c r="X14" s="37">
        <f t="shared" si="13"/>
        <v>0</v>
      </c>
      <c r="Y14" s="37">
        <f t="shared" si="13"/>
        <v>0</v>
      </c>
      <c r="Z14" s="37">
        <f t="shared" si="13"/>
        <v>18</v>
      </c>
      <c r="AA14" s="37">
        <f>AA34+AA54</f>
        <v>64</v>
      </c>
      <c r="AB14" s="5"/>
      <c r="AC14" s="5"/>
      <c r="AD14" s="34" t="s">
        <v>1</v>
      </c>
      <c r="AE14" s="37">
        <f t="shared" si="6"/>
        <v>0</v>
      </c>
      <c r="AF14" s="37">
        <f t="shared" ref="AF14" si="14">U14</f>
        <v>0</v>
      </c>
      <c r="AG14" s="37">
        <f>'Cost Burden'!Z14</f>
        <v>18</v>
      </c>
      <c r="AH14" s="37">
        <f t="shared" ref="AH14" si="15">SUM(W14:Y14)</f>
        <v>0</v>
      </c>
      <c r="AI14" s="37">
        <f t="shared" ref="AI14" si="16">SUM(U14:Z14)</f>
        <v>18</v>
      </c>
      <c r="AJ14" s="37">
        <f t="shared" ref="AJ14" si="17">T14</f>
        <v>54</v>
      </c>
      <c r="AK14" s="58">
        <f>AA14</f>
        <v>64</v>
      </c>
      <c r="BC14" s="41"/>
      <c r="BH14" s="196"/>
    </row>
    <row r="15" spans="3:66" ht="15">
      <c r="C15" s="29"/>
      <c r="D15" s="29"/>
      <c r="E15" s="75" t="str">
        <f>S14</f>
        <v>Total</v>
      </c>
      <c r="F15" s="104">
        <f>T34</f>
        <v>40</v>
      </c>
      <c r="G15" s="104">
        <f t="shared" ref="G15:L15" si="18">U34</f>
        <v>0</v>
      </c>
      <c r="H15" s="104">
        <f t="shared" si="18"/>
        <v>0</v>
      </c>
      <c r="I15" s="104">
        <f t="shared" si="18"/>
        <v>0</v>
      </c>
      <c r="J15" s="104">
        <f t="shared" si="18"/>
        <v>0</v>
      </c>
      <c r="K15" s="104">
        <f t="shared" si="18"/>
        <v>0</v>
      </c>
      <c r="L15" s="104">
        <f t="shared" si="18"/>
        <v>10</v>
      </c>
      <c r="M15" s="104">
        <f>SUM(F15:L15)</f>
        <v>50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0</v>
      </c>
      <c r="X16" s="114">
        <f t="shared" si="20"/>
        <v>0</v>
      </c>
      <c r="Y16" s="114">
        <f t="shared" si="20"/>
        <v>0</v>
      </c>
      <c r="Z16" s="114">
        <f t="shared" si="20"/>
        <v>4</v>
      </c>
      <c r="AA16" s="5"/>
      <c r="AB16" s="5"/>
      <c r="AC16" s="5"/>
      <c r="AD16" s="114" t="s">
        <v>2364</v>
      </c>
      <c r="AE16" s="114">
        <f>V16</f>
        <v>0</v>
      </c>
      <c r="AF16" s="114">
        <f>U16</f>
        <v>0</v>
      </c>
      <c r="AG16" s="114">
        <f>'Cost Burden'!Z16</f>
        <v>4</v>
      </c>
      <c r="AH16" s="114">
        <f>SUM(W16:Y16)</f>
        <v>0</v>
      </c>
      <c r="AI16" s="114">
        <f>SUM(U16:Z16)</f>
        <v>4</v>
      </c>
      <c r="AJ16" s="114">
        <f>T16</f>
        <v>4</v>
      </c>
      <c r="AK16" s="114">
        <f>SUM(AJ16,AE16:AH16)</f>
        <v>8</v>
      </c>
      <c r="BC16" s="41"/>
      <c r="BG16" s="311"/>
      <c r="BH16" s="311"/>
      <c r="BI16" s="311"/>
    </row>
    <row r="17" spans="3:55">
      <c r="C17" s="69" t="str">
        <f>S50</f>
        <v>Not Cost Burdened</v>
      </c>
      <c r="D17" s="29"/>
      <c r="E17" s="29"/>
      <c r="F17" s="102">
        <f t="shared" ref="F17:L17" si="21">T50</f>
        <v>10</v>
      </c>
      <c r="G17" s="102">
        <f t="shared" si="21"/>
        <v>0</v>
      </c>
      <c r="H17" s="102">
        <f t="shared" si="21"/>
        <v>0</v>
      </c>
      <c r="I17" s="102">
        <f t="shared" si="21"/>
        <v>0</v>
      </c>
      <c r="J17" s="102">
        <f t="shared" si="21"/>
        <v>0</v>
      </c>
      <c r="K17" s="102">
        <f t="shared" si="21"/>
        <v>0</v>
      </c>
      <c r="L17" s="102">
        <f t="shared" si="21"/>
        <v>4</v>
      </c>
      <c r="M17" s="102">
        <f>SUM(F17:L17)</f>
        <v>14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4</v>
      </c>
      <c r="M18" s="102">
        <f t="shared" ref="M18:M21" si="23">SUM(F18:L18)</f>
        <v>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4</v>
      </c>
      <c r="M20" s="102">
        <f t="shared" si="23"/>
        <v>8</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10</v>
      </c>
      <c r="G22" s="106">
        <f t="shared" ref="G22:L22" si="25">U54</f>
        <v>0</v>
      </c>
      <c r="H22" s="106">
        <f t="shared" si="25"/>
        <v>0</v>
      </c>
      <c r="I22" s="106">
        <f t="shared" si="25"/>
        <v>0</v>
      </c>
      <c r="J22" s="106">
        <f t="shared" si="25"/>
        <v>0</v>
      </c>
      <c r="K22" s="106">
        <f t="shared" si="25"/>
        <v>0</v>
      </c>
      <c r="L22" s="106">
        <f t="shared" si="25"/>
        <v>4</v>
      </c>
      <c r="M22" s="104">
        <f>SUM(F22:L22)</f>
        <v>14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10</v>
      </c>
      <c r="AH22" s="5">
        <f>SUM(W30:Y30)</f>
        <v>0</v>
      </c>
      <c r="AI22" s="5">
        <f>SUM(U30:Z30)</f>
        <v>10</v>
      </c>
      <c r="AJ22" s="5">
        <f>T30</f>
        <v>30</v>
      </c>
      <c r="AK22" s="5">
        <f>AA30</f>
        <v>40</v>
      </c>
      <c r="AQ22" s="31"/>
      <c r="BC22" s="41"/>
    </row>
    <row r="23" spans="3:55" ht="14.25" customHeight="1" thickBot="1">
      <c r="C23" s="77"/>
      <c r="D23" s="77"/>
      <c r="E23" s="78" t="s">
        <v>2709</v>
      </c>
      <c r="F23" s="107">
        <f>SUM(F15,F22)</f>
        <v>50</v>
      </c>
      <c r="G23" s="107">
        <f t="shared" ref="G23:M23" si="26">SUM(G15,G22)</f>
        <v>0</v>
      </c>
      <c r="H23" s="107">
        <f t="shared" si="26"/>
        <v>0</v>
      </c>
      <c r="I23" s="107">
        <f t="shared" si="26"/>
        <v>0</v>
      </c>
      <c r="J23" s="107">
        <f t="shared" si="26"/>
        <v>0</v>
      </c>
      <c r="K23" s="107">
        <f t="shared" si="26"/>
        <v>0</v>
      </c>
      <c r="L23" s="107">
        <f t="shared" si="26"/>
        <v>14</v>
      </c>
      <c r="M23" s="107">
        <f t="shared" si="26"/>
        <v>64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10</v>
      </c>
      <c r="AK23" s="5">
        <f t="shared" ref="AK23:AK25" si="32">AA31</f>
        <v>10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0</v>
      </c>
      <c r="AK24" s="5">
        <f t="shared" si="32"/>
        <v>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10</v>
      </c>
      <c r="AH26" s="37">
        <f t="shared" si="29"/>
        <v>0</v>
      </c>
      <c r="AI26" s="37">
        <f t="shared" si="30"/>
        <v>10</v>
      </c>
      <c r="AJ26" s="37">
        <f t="shared" si="31"/>
        <v>40</v>
      </c>
      <c r="AK26" s="37">
        <f>SUM(AJ26,AE26:AH26)</f>
        <v>50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Kahlotus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30</v>
      </c>
      <c r="U30" s="1">
        <v>0</v>
      </c>
      <c r="V30" s="1">
        <v>0</v>
      </c>
      <c r="W30" s="1">
        <v>0</v>
      </c>
      <c r="X30" s="1">
        <v>0</v>
      </c>
      <c r="Y30" s="1">
        <v>0</v>
      </c>
      <c r="Z30" s="1">
        <v>10</v>
      </c>
      <c r="AA30" s="5">
        <f>SUM(T30:Z30)</f>
        <v>40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10</v>
      </c>
      <c r="U31" s="1">
        <v>0</v>
      </c>
      <c r="V31" s="1">
        <v>0</v>
      </c>
      <c r="W31" s="1">
        <v>0</v>
      </c>
      <c r="X31" s="1">
        <v>0</v>
      </c>
      <c r="Y31" s="1">
        <v>0</v>
      </c>
      <c r="Z31" s="1">
        <v>0</v>
      </c>
      <c r="AA31" s="5">
        <f t="shared" ref="AA31:AA34" si="33">SUM(T31:Z31)</f>
        <v>10</v>
      </c>
      <c r="AB31" s="5"/>
      <c r="AC31" s="5"/>
      <c r="AD31" s="5"/>
      <c r="AE31" s="314"/>
      <c r="AF31" s="313"/>
      <c r="AG31" s="315"/>
      <c r="AH31" s="314"/>
      <c r="AI31" s="324"/>
      <c r="AJ31" s="324"/>
      <c r="AK31" s="314"/>
    </row>
    <row r="32" spans="3:55" ht="14.25" customHeight="1">
      <c r="C32" s="5"/>
      <c r="S32" s="33" t="s">
        <v>1982</v>
      </c>
      <c r="T32" s="1">
        <v>0</v>
      </c>
      <c r="U32" s="1">
        <v>0</v>
      </c>
      <c r="V32" s="1">
        <v>0</v>
      </c>
      <c r="W32" s="1">
        <v>0</v>
      </c>
      <c r="X32" s="1">
        <v>0</v>
      </c>
      <c r="Y32" s="1">
        <v>0</v>
      </c>
      <c r="Z32" s="1">
        <v>0</v>
      </c>
      <c r="AA32" s="5">
        <f t="shared" si="33"/>
        <v>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4</v>
      </c>
      <c r="AH33" s="5">
        <f>SUM(W50:Y50)</f>
        <v>0</v>
      </c>
      <c r="AI33" s="5">
        <f>SUM(U50:Z50)</f>
        <v>4</v>
      </c>
      <c r="AJ33" s="5">
        <f>T50</f>
        <v>10</v>
      </c>
      <c r="AK33" s="5">
        <f t="shared" ref="AK33" si="34">SUM(AJ33,AE33:AH33)</f>
        <v>14</v>
      </c>
    </row>
    <row r="34" spans="3:49" ht="15">
      <c r="S34" s="33" t="s">
        <v>2</v>
      </c>
      <c r="T34" s="1">
        <v>40</v>
      </c>
      <c r="U34" s="1">
        <v>0</v>
      </c>
      <c r="V34" s="1">
        <v>0</v>
      </c>
      <c r="W34" s="1">
        <v>0</v>
      </c>
      <c r="X34" s="1">
        <v>0</v>
      </c>
      <c r="Y34" s="1">
        <v>0</v>
      </c>
      <c r="Z34" s="1">
        <v>10</v>
      </c>
      <c r="AA34" s="37">
        <f t="shared" si="33"/>
        <v>50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ht="15">
      <c r="C35" s="39"/>
      <c r="AA35" s="5"/>
      <c r="AB35" s="5"/>
      <c r="AC35" s="5"/>
      <c r="AD35" s="33" t="s">
        <v>1982</v>
      </c>
      <c r="AE35" s="5">
        <f t="shared" si="35"/>
        <v>0</v>
      </c>
      <c r="AF35" s="5">
        <f t="shared" si="36"/>
        <v>0</v>
      </c>
      <c r="AG35" s="5">
        <f>'Cost Burden'!Z52</f>
        <v>4</v>
      </c>
      <c r="AH35" s="5">
        <f t="shared" si="37"/>
        <v>0</v>
      </c>
      <c r="AI35" s="5">
        <f t="shared" si="38"/>
        <v>4</v>
      </c>
      <c r="AJ35" s="5">
        <f t="shared" si="39"/>
        <v>4</v>
      </c>
      <c r="AK35" s="5">
        <f t="shared" si="40"/>
        <v>8</v>
      </c>
    </row>
    <row r="36" spans="3:49">
      <c r="S36" s="114" t="s">
        <v>2364</v>
      </c>
      <c r="T36" s="114">
        <f>SUM(T31:T32)</f>
        <v>10</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4</v>
      </c>
      <c r="AH37" s="37">
        <f t="shared" si="37"/>
        <v>0</v>
      </c>
      <c r="AI37" s="37">
        <f t="shared" si="38"/>
        <v>4</v>
      </c>
      <c r="AJ37" s="37">
        <f t="shared" si="39"/>
        <v>10</v>
      </c>
      <c r="AK37" s="37">
        <f t="shared" si="40"/>
        <v>14</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0</v>
      </c>
      <c r="AI39" s="114">
        <f>SUM(U56:Z56)</f>
        <v>4</v>
      </c>
      <c r="AJ39" s="114">
        <f>T56</f>
        <v>4</v>
      </c>
      <c r="AK39" s="114">
        <f>SUM(AJ39,AE39:AH39)</f>
        <v>8</v>
      </c>
    </row>
    <row r="40" spans="3:49">
      <c r="T40" s="57" t="s">
        <v>2637</v>
      </c>
      <c r="U40" s="57" t="s">
        <v>2637</v>
      </c>
      <c r="V40" s="57" t="s">
        <v>2637</v>
      </c>
      <c r="W40" s="57" t="s">
        <v>2637</v>
      </c>
      <c r="X40" s="57" t="s">
        <v>2637</v>
      </c>
      <c r="Y40" s="57" t="s">
        <v>2637</v>
      </c>
      <c r="Z40" s="57" t="s">
        <v>2637</v>
      </c>
      <c r="AE40" s="6">
        <f>AJ39/AJ37</f>
        <v>0.4</v>
      </c>
      <c r="AF40" s="6">
        <f>AI39/AI37</f>
        <v>1</v>
      </c>
      <c r="AG40" s="6" t="e">
        <f>AE39/AE37</f>
        <v>#DIV/0!</v>
      </c>
      <c r="AH40" s="6" t="e">
        <f>AF39/AF37</f>
        <v>#DIV/0!</v>
      </c>
      <c r="AI40" s="6" t="e">
        <f>AH39/AH37</f>
        <v>#DIV/0!</v>
      </c>
      <c r="AJ40" s="6">
        <f>AG39/AG37</f>
        <v>1</v>
      </c>
      <c r="AK40" s="6">
        <f>AK39/AK37</f>
        <v>0.5714285714285714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0.22222222222222221</v>
      </c>
      <c r="AH47" s="44" t="str">
        <f t="shared" si="42"/>
        <v>0</v>
      </c>
      <c r="AJ47" s="44">
        <f t="shared" si="42"/>
        <v>0.22222222222222221</v>
      </c>
      <c r="AK47" s="44">
        <f t="shared" si="42"/>
        <v>0.25925925925925924</v>
      </c>
    </row>
    <row r="48" spans="3:49" ht="14.25" customHeight="1">
      <c r="AC48" s="31"/>
      <c r="AD48" s="31" t="s">
        <v>2365</v>
      </c>
      <c r="AE48" s="44">
        <f>1-AE47</f>
        <v>1</v>
      </c>
      <c r="AF48" s="44">
        <f>1-AF47</f>
        <v>1</v>
      </c>
      <c r="AG48" s="44">
        <f>1-AG47</f>
        <v>0.77777777777777779</v>
      </c>
      <c r="AH48" s="44">
        <f>1-AH47</f>
        <v>1</v>
      </c>
      <c r="AJ48" s="44">
        <f>1-AJ47</f>
        <v>0.77777777777777779</v>
      </c>
      <c r="AK48" s="44">
        <f>1-AK47</f>
        <v>0.7407407407407407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e">
        <f t="shared" si="43"/>
        <v>#DIV/0!</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10</v>
      </c>
      <c r="U50" s="1">
        <v>0</v>
      </c>
      <c r="V50" s="1">
        <v>0</v>
      </c>
      <c r="W50" s="1">
        <v>0</v>
      </c>
      <c r="X50" s="1">
        <v>0</v>
      </c>
      <c r="Y50" s="1">
        <v>0</v>
      </c>
      <c r="Z50" s="1">
        <v>4</v>
      </c>
      <c r="AA50" s="5">
        <f>SUM(T50:Z50)</f>
        <v>14</v>
      </c>
      <c r="AB50" s="56"/>
      <c r="AC50" s="31"/>
      <c r="AD50" s="31" t="s">
        <v>12</v>
      </c>
      <c r="AE50" s="44" t="e">
        <f>AE10/AE14</f>
        <v>#DIV/0!</v>
      </c>
      <c r="AF50" s="44" t="e">
        <f t="shared" ref="AF50:AH50" si="44">AF10/AF14</f>
        <v>#DIV/0!</v>
      </c>
      <c r="AG50" s="44">
        <f t="shared" si="44"/>
        <v>0.77777777777777779</v>
      </c>
      <c r="AH50" s="44" t="e">
        <f t="shared" si="44"/>
        <v>#DIV/0!</v>
      </c>
      <c r="AJ50" s="44">
        <f>AI10/AI14</f>
        <v>0.77777777777777779</v>
      </c>
      <c r="AK50" s="44">
        <f>AJ10/AJ14</f>
        <v>0.7407407407407407</v>
      </c>
      <c r="AL50" s="31"/>
      <c r="AM50" s="31"/>
      <c r="AN50" s="31"/>
      <c r="AO50" s="31"/>
    </row>
    <row r="51" spans="3:48" ht="14.25" customHeight="1">
      <c r="C51" s="323"/>
      <c r="D51" s="323"/>
      <c r="E51" s="323"/>
      <c r="F51" s="323"/>
      <c r="G51" s="323"/>
      <c r="H51" s="323"/>
      <c r="I51" s="323"/>
      <c r="J51" s="323"/>
      <c r="K51" s="323"/>
      <c r="S51" s="33" t="s">
        <v>1981</v>
      </c>
      <c r="T51" s="1">
        <v>0</v>
      </c>
      <c r="U51" s="1">
        <v>0</v>
      </c>
      <c r="V51" s="1">
        <v>0</v>
      </c>
      <c r="W51" s="1">
        <v>0</v>
      </c>
      <c r="X51" s="1">
        <v>0</v>
      </c>
      <c r="Y51" s="1">
        <v>0</v>
      </c>
      <c r="Z51" s="1">
        <v>0</v>
      </c>
      <c r="AA51" s="5">
        <f t="shared" ref="AA51:AA54" si="45">SUM(T51:Z51)</f>
        <v>0</v>
      </c>
      <c r="AB51" s="56"/>
      <c r="AD51" s="31" t="s">
        <v>1981</v>
      </c>
      <c r="AE51" s="44" t="e">
        <f>AE11/AE14</f>
        <v>#DIV/0!</v>
      </c>
      <c r="AF51" s="44" t="e">
        <f t="shared" ref="AF51:AH51" si="46">AF11/AF14</f>
        <v>#DIV/0!</v>
      </c>
      <c r="AG51" s="44">
        <f t="shared" si="46"/>
        <v>0</v>
      </c>
      <c r="AH51" s="44" t="e">
        <f t="shared" si="46"/>
        <v>#DIV/0!</v>
      </c>
      <c r="AJ51" s="44">
        <f>AI11/AI14</f>
        <v>0</v>
      </c>
      <c r="AK51" s="44">
        <f>AJ11/AJ14</f>
        <v>0.18518518518518517</v>
      </c>
      <c r="AL51" s="31"/>
      <c r="AM51" s="31"/>
      <c r="AN51" s="31"/>
      <c r="AO51" s="31"/>
    </row>
    <row r="52" spans="3:48">
      <c r="S52" s="33" t="s">
        <v>1982</v>
      </c>
      <c r="T52" s="1">
        <v>4</v>
      </c>
      <c r="U52" s="1">
        <v>0</v>
      </c>
      <c r="V52" s="1">
        <v>0</v>
      </c>
      <c r="W52" s="1">
        <v>0</v>
      </c>
      <c r="X52" s="1">
        <v>0</v>
      </c>
      <c r="Y52" s="1">
        <v>0</v>
      </c>
      <c r="Z52" s="1">
        <v>4</v>
      </c>
      <c r="AA52" s="5">
        <f t="shared" si="45"/>
        <v>8</v>
      </c>
      <c r="AD52" s="31" t="s">
        <v>1982</v>
      </c>
      <c r="AE52" s="44" t="e">
        <f>AE12/AE14</f>
        <v>#DIV/0!</v>
      </c>
      <c r="AF52" s="44" t="e">
        <f t="shared" ref="AF52:AH52" si="47">AF12/AF14</f>
        <v>#DIV/0!</v>
      </c>
      <c r="AG52" s="44">
        <f t="shared" si="47"/>
        <v>0.22222222222222221</v>
      </c>
      <c r="AH52" s="44" t="e">
        <f t="shared" si="47"/>
        <v>#DIV/0!</v>
      </c>
      <c r="AJ52" s="44">
        <f>AI12/AI14</f>
        <v>0.22222222222222221</v>
      </c>
      <c r="AK52" s="44">
        <f>AJ12/AJ14</f>
        <v>7.407407407407407E-2</v>
      </c>
      <c r="AL52" s="31"/>
      <c r="AM52" s="31"/>
      <c r="AN52" s="31"/>
      <c r="AO52" s="31"/>
    </row>
    <row r="53" spans="3:48" ht="18" customHeight="1">
      <c r="C53" s="301" t="str">
        <f>"Chart 4a. "&amp;City_label&amp;" total housing cost burden by racial and ethnic group, 2019"</f>
        <v>Chart 4a. Kahlotus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10</v>
      </c>
      <c r="U54" s="1">
        <v>0</v>
      </c>
      <c r="V54" s="1">
        <v>0</v>
      </c>
      <c r="W54" s="1">
        <v>0</v>
      </c>
      <c r="X54" s="1">
        <v>0</v>
      </c>
      <c r="Y54" s="1">
        <v>0</v>
      </c>
      <c r="Z54" s="1">
        <v>4</v>
      </c>
      <c r="AA54" s="37">
        <f t="shared" si="45"/>
        <v>14</v>
      </c>
      <c r="AD54" s="59" t="s">
        <v>2695</v>
      </c>
      <c r="AE54" s="31" t="str">
        <f>"Total Cost Burdened: "&amp;TEXT(AE47,"0%")</f>
        <v>Total Cost Burdened: 0%</v>
      </c>
      <c r="AF54" s="31" t="str">
        <f>"Total Cost Burdened: "&amp;TEXT(AF47,"0%")</f>
        <v>Total Cost Burdened: 0%</v>
      </c>
      <c r="AG54" s="31" t="str">
        <f>"Total Cost Burdened: "&amp;TEXT(AG47,"0%")</f>
        <v>Total Cost Burdened: 22%</v>
      </c>
      <c r="AH54" s="31" t="str">
        <f>"Total Cost Burdened: "&amp;TEXT(AH47,"0%")</f>
        <v>Total Cost Burdened: 0%</v>
      </c>
      <c r="AJ54" s="31" t="str">
        <f>"Total Cost Burdened: "&amp;TEXT(AJ47,"0%")</f>
        <v>Total Cost Burdened: 22%</v>
      </c>
      <c r="AK54" s="31" t="str">
        <f>"Total Cost Burdened: "&amp;TEXT(AK47,"0%")</f>
        <v>Total Cost Burdened: 26%</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0</v>
      </c>
      <c r="X56" s="57">
        <f t="shared" si="48"/>
        <v>0</v>
      </c>
      <c r="Y56" s="57">
        <f t="shared" si="48"/>
        <v>0</v>
      </c>
      <c r="Z56" s="57">
        <f t="shared" si="48"/>
        <v>4</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0.25</v>
      </c>
      <c r="AL56" s="31"/>
      <c r="AM56" s="31"/>
      <c r="AN56" s="31"/>
      <c r="AO56" s="31"/>
    </row>
    <row r="57" spans="3:48" ht="14.25" customHeight="1">
      <c r="AD57" s="31" t="s">
        <v>2365</v>
      </c>
      <c r="AE57" s="44">
        <f>1-AE56</f>
        <v>1</v>
      </c>
      <c r="AF57" s="44">
        <f>1-AF56</f>
        <v>1</v>
      </c>
      <c r="AG57" s="44">
        <f>1-AG56</f>
        <v>1</v>
      </c>
      <c r="AH57" s="44">
        <f>1-AH56</f>
        <v>1</v>
      </c>
      <c r="AJ57" s="44">
        <f>1-AJ56</f>
        <v>1</v>
      </c>
      <c r="AK57" s="44">
        <f>1-AK56</f>
        <v>0.75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t="e">
        <f t="shared" si="52"/>
        <v>#DIV/0!</v>
      </c>
      <c r="AJ59" s="44">
        <f>AI22/AI26</f>
        <v>1</v>
      </c>
      <c r="AK59" s="44">
        <f>AJ22/AJ26</f>
        <v>0.75</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t="e">
        <f t="shared" si="53"/>
        <v>#DIV/0!</v>
      </c>
      <c r="AJ60" s="44">
        <f>AI23/AI26</f>
        <v>0</v>
      </c>
      <c r="AK60" s="44">
        <f>AJ23/AJ26</f>
        <v>0.25</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t="e">
        <f t="shared" si="54"/>
        <v>#DIV/0!</v>
      </c>
      <c r="AJ61" s="44">
        <f>AI24/AI26</f>
        <v>0</v>
      </c>
      <c r="AK61" s="44">
        <f>AJ24/AJ26</f>
        <v>0</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25%</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t="str">
        <f t="shared" si="55"/>
        <v>0%</v>
      </c>
      <c r="AJ65" s="44">
        <f t="shared" ref="AJ65:AK65" si="56">IFERROR(IF(SUM(AJ69:AJ70)&gt;0, SUM(AJ69:AJ70), "0"), "0")</f>
        <v>1</v>
      </c>
      <c r="AK65" s="44">
        <f t="shared" si="56"/>
        <v>0.4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1</v>
      </c>
      <c r="AJ66" s="44">
        <f>1-AJ65</f>
        <v>0</v>
      </c>
      <c r="AK66" s="44">
        <f>1-AK65</f>
        <v>0.6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t="e">
        <f t="shared" si="58"/>
        <v>#DIV/0!</v>
      </c>
      <c r="AJ68" s="44">
        <f>AI33/AI37</f>
        <v>1</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t="e">
        <f t="shared" si="59"/>
        <v>#DIV/0!</v>
      </c>
      <c r="AJ69" s="44">
        <f>AI34/AI37</f>
        <v>0</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1</v>
      </c>
      <c r="AH70" s="44" t="e">
        <f t="shared" si="60"/>
        <v>#DIV/0!</v>
      </c>
      <c r="AJ70" s="44">
        <f>AI35/AI37</f>
        <v>1</v>
      </c>
      <c r="AK70" s="44">
        <f>AJ35/AJ37</f>
        <v>0.4</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40%</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Kahlotus number of owner households by race and cost burden, 2019</v>
      </c>
      <c r="D76" s="301"/>
      <c r="E76" s="301"/>
      <c r="F76" s="301"/>
      <c r="G76" s="301"/>
      <c r="H76" s="301"/>
      <c r="I76" s="301"/>
      <c r="J76" s="301"/>
      <c r="K76" s="301"/>
      <c r="L76" s="301"/>
      <c r="M76" s="301"/>
      <c r="S76" s="33" t="s">
        <v>12</v>
      </c>
      <c r="T76" s="1">
        <v>12</v>
      </c>
      <c r="U76" s="1">
        <v>12</v>
      </c>
      <c r="V76" s="1">
        <v>12</v>
      </c>
      <c r="W76" s="1">
        <v>10</v>
      </c>
      <c r="X76" s="1">
        <v>12</v>
      </c>
      <c r="Y76" s="1">
        <v>12</v>
      </c>
      <c r="Z76" s="1">
        <v>19</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14</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46</v>
      </c>
      <c r="X80" s="37">
        <f t="shared" si="61"/>
        <v>48</v>
      </c>
      <c r="Y80" s="37">
        <f t="shared" si="61"/>
        <v>48</v>
      </c>
      <c r="Z80" s="37">
        <f t="shared" si="61"/>
        <v>57</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0.60790273556231</v>
      </c>
      <c r="X83" s="6">
        <f>IFERROR((((X76/1.645)/Y30)),0)</f>
        <v>0</v>
      </c>
      <c r="Y83" s="6">
        <f>IFERROR((((Y76/1.645)/X30)),0)</f>
        <v>0</v>
      </c>
      <c r="Z83" s="6">
        <f>IFERROR((((Z76/1.645)/T30)),0)</f>
        <v>0.3850050658561297</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0.85106382978723405</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Kahlotus number of owner households by race and cost burden, 2019</v>
      </c>
      <c r="D100" s="301"/>
      <c r="E100" s="301"/>
      <c r="F100" s="301"/>
      <c r="G100" s="301"/>
      <c r="H100" s="301"/>
      <c r="I100" s="301"/>
      <c r="J100" s="301"/>
      <c r="K100" s="301"/>
      <c r="L100" s="301"/>
      <c r="M100" s="301"/>
      <c r="S100" s="33" t="s">
        <v>12</v>
      </c>
      <c r="T100" s="1">
        <v>12</v>
      </c>
      <c r="U100" s="1">
        <v>12</v>
      </c>
      <c r="V100" s="1">
        <v>12</v>
      </c>
      <c r="W100" s="1">
        <v>4</v>
      </c>
      <c r="X100" s="1">
        <v>12</v>
      </c>
      <c r="Y100" s="1">
        <v>12</v>
      </c>
      <c r="Z100" s="1">
        <v>13</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1</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40</v>
      </c>
      <c r="X104" s="37">
        <f t="shared" si="62"/>
        <v>48</v>
      </c>
      <c r="Y104" s="37">
        <f t="shared" si="62"/>
        <v>48</v>
      </c>
      <c r="Z104" s="37">
        <f t="shared" si="62"/>
        <v>38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0.60790273556231</v>
      </c>
      <c r="X107" s="6">
        <f>IFERROR((((X100/1.645)/Y50)),0)</f>
        <v>0</v>
      </c>
      <c r="Y107" s="6">
        <f>IFERROR((((Y100/1.645)/X50)),0)</f>
        <v>0</v>
      </c>
      <c r="Z107" s="6">
        <f>IFERROR((((Z100/1.645)/T50)),0)</f>
        <v>0.79027355623100304</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1.8237082066869301</v>
      </c>
      <c r="X109" s="6">
        <f>IFERROR((((X102/1.645)/Y52)),0)</f>
        <v>0</v>
      </c>
      <c r="Y109" s="6">
        <f>IFERROR((((Y102/1.645)/X52)),0)</f>
        <v>0</v>
      </c>
      <c r="Z109" s="6">
        <f>IFERROR((((Z102/1.645)/T52)),0)</f>
        <v>0.1519756838905775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Kahlotus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Kahlotus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Kahlotus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0.77777777777777779</v>
      </c>
      <c r="G181" s="116">
        <f>AK50</f>
        <v>0.7407407407407407</v>
      </c>
      <c r="H181" s="269" t="e">
        <f>AE50</f>
        <v>#DIV/0!</v>
      </c>
      <c r="I181" s="270" t="e">
        <f>AF50</f>
        <v>#DIV/0!</v>
      </c>
      <c r="J181" s="270">
        <f>AG50</f>
        <v>0.77777777777777779</v>
      </c>
      <c r="K181" s="270" t="e">
        <f>AH50</f>
        <v>#DIV/0!</v>
      </c>
    </row>
    <row r="182" spans="3:28" ht="18.75" customHeight="1">
      <c r="C182" s="29" t="s">
        <v>2364</v>
      </c>
      <c r="D182" s="29"/>
      <c r="E182" s="29"/>
      <c r="F182" s="116">
        <f>AJ47</f>
        <v>0.22222222222222221</v>
      </c>
      <c r="G182" s="116">
        <f>AK47</f>
        <v>0.25925925925925924</v>
      </c>
      <c r="H182" s="269" t="str">
        <f>AE47</f>
        <v>0</v>
      </c>
      <c r="I182" s="270" t="str">
        <f>AF47</f>
        <v>0</v>
      </c>
      <c r="J182" s="270">
        <f>AG47</f>
        <v>0.22222222222222221</v>
      </c>
      <c r="K182" s="270" t="str">
        <f>AH47</f>
        <v>0</v>
      </c>
    </row>
    <row r="183" spans="3:28" ht="18.75" customHeight="1">
      <c r="C183" s="121" t="s">
        <v>1981</v>
      </c>
      <c r="D183" s="118"/>
      <c r="E183" s="118"/>
      <c r="F183" s="122">
        <f>AJ51</f>
        <v>0</v>
      </c>
      <c r="G183" s="122">
        <f>AK51</f>
        <v>0.18518518518518517</v>
      </c>
      <c r="H183" s="271" t="e">
        <f t="shared" ref="H183:K184" si="63">AE51</f>
        <v>#DIV/0!</v>
      </c>
      <c r="I183" s="272" t="e">
        <f t="shared" si="63"/>
        <v>#DIV/0!</v>
      </c>
      <c r="J183" s="272">
        <f t="shared" si="63"/>
        <v>0</v>
      </c>
      <c r="K183" s="272" t="e">
        <f t="shared" si="63"/>
        <v>#DIV/0!</v>
      </c>
    </row>
    <row r="184" spans="3:28">
      <c r="C184" s="121" t="s">
        <v>1982</v>
      </c>
      <c r="D184" s="118"/>
      <c r="E184" s="118"/>
      <c r="F184" s="122">
        <f>AJ52</f>
        <v>0.22222222222222221</v>
      </c>
      <c r="G184" s="122">
        <f>AK52</f>
        <v>7.407407407407407E-2</v>
      </c>
      <c r="H184" s="271" t="e">
        <f t="shared" si="63"/>
        <v>#DIV/0!</v>
      </c>
      <c r="I184" s="272" t="e">
        <f t="shared" si="63"/>
        <v>#DIV/0!</v>
      </c>
      <c r="J184" s="272">
        <f t="shared" si="63"/>
        <v>0.22222222222222221</v>
      </c>
      <c r="K184" s="272" t="e">
        <f t="shared" si="63"/>
        <v>#DIV/0!</v>
      </c>
    </row>
    <row r="185" spans="3:28">
      <c r="C185" s="29" t="s">
        <v>13</v>
      </c>
      <c r="D185" s="29"/>
      <c r="E185" s="29"/>
      <c r="F185" s="116" t="str">
        <f>AJ49</f>
        <v/>
      </c>
      <c r="G185" s="116" t="str">
        <f>AK49</f>
        <v/>
      </c>
      <c r="H185" s="269" t="e">
        <f>AE49</f>
        <v>#DIV/0!</v>
      </c>
      <c r="I185" s="270" t="e">
        <f>AF49</f>
        <v>#DIV/0!</v>
      </c>
      <c r="J185" s="270" t="str">
        <f>AG49</f>
        <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0.75</v>
      </c>
      <c r="H187" s="269" t="e">
        <f>AE59</f>
        <v>#DIV/0!</v>
      </c>
      <c r="I187" s="270" t="e">
        <f>AF59</f>
        <v>#DIV/0!</v>
      </c>
      <c r="J187" s="270">
        <f>AG59</f>
        <v>1</v>
      </c>
      <c r="K187" s="270" t="e">
        <f>AH59</f>
        <v>#DIV/0!</v>
      </c>
      <c r="AA187" s="99"/>
      <c r="AB187" s="99"/>
    </row>
    <row r="188" spans="3:28" ht="14.25" customHeight="1">
      <c r="C188" s="29" t="s">
        <v>2364</v>
      </c>
      <c r="D188" s="29"/>
      <c r="E188" s="29"/>
      <c r="F188" s="116" t="str">
        <f>AJ56</f>
        <v>0</v>
      </c>
      <c r="G188" s="116">
        <f>AK56</f>
        <v>0.25</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0.25</v>
      </c>
      <c r="H189" s="271" t="e">
        <f t="shared" ref="H189:K190" si="64">AE60</f>
        <v>#DIV/0!</v>
      </c>
      <c r="I189" s="272" t="e">
        <f t="shared" si="64"/>
        <v>#DIV/0!</v>
      </c>
      <c r="J189" s="272">
        <f t="shared" si="64"/>
        <v>0</v>
      </c>
      <c r="K189" s="272" t="e">
        <f t="shared" si="64"/>
        <v>#DIV/0!</v>
      </c>
      <c r="S189" s="99"/>
      <c r="T189" s="82"/>
    </row>
    <row r="190" spans="3:28" ht="14.25" customHeight="1">
      <c r="C190" s="121" t="s">
        <v>1982</v>
      </c>
      <c r="D190" s="118"/>
      <c r="E190" s="118"/>
      <c r="F190" s="122">
        <f>AJ61</f>
        <v>0</v>
      </c>
      <c r="G190" s="122">
        <f>AK61</f>
        <v>0</v>
      </c>
      <c r="H190" s="271" t="e">
        <f t="shared" si="64"/>
        <v>#DIV/0!</v>
      </c>
      <c r="I190" s="272" t="e">
        <f t="shared" si="64"/>
        <v>#DIV/0!</v>
      </c>
      <c r="J190" s="272">
        <f t="shared" si="64"/>
        <v>0</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1</v>
      </c>
      <c r="H193" s="269" t="e">
        <f>AE68</f>
        <v>#DIV/0!</v>
      </c>
      <c r="I193" s="270" t="e">
        <f>AF68</f>
        <v>#DIV/0!</v>
      </c>
      <c r="J193" s="270">
        <f>AG68</f>
        <v>1</v>
      </c>
      <c r="K193" s="270" t="e">
        <f>AH68</f>
        <v>#DIV/0!</v>
      </c>
      <c r="U193" s="99"/>
      <c r="V193" s="99"/>
      <c r="W193" s="99"/>
      <c r="X193" s="99"/>
      <c r="Y193" s="99"/>
      <c r="Z193" s="99"/>
    </row>
    <row r="194" spans="3:26" ht="14.25" customHeight="1">
      <c r="C194" s="29" t="s">
        <v>2364</v>
      </c>
      <c r="D194" s="29"/>
      <c r="E194" s="29"/>
      <c r="F194" s="116">
        <f>AJ65</f>
        <v>1</v>
      </c>
      <c r="G194" s="116">
        <f>AK65</f>
        <v>0.4</v>
      </c>
      <c r="H194" s="269" t="str">
        <f>AE65</f>
        <v>0%</v>
      </c>
      <c r="I194" s="270" t="str">
        <f>AF65</f>
        <v>0%</v>
      </c>
      <c r="J194" s="270">
        <f>AG65</f>
        <v>1</v>
      </c>
      <c r="K194" s="270" t="str">
        <f>AH65</f>
        <v>0%</v>
      </c>
    </row>
    <row r="195" spans="3:26" ht="14.25" customHeight="1">
      <c r="C195" s="121" t="s">
        <v>1981</v>
      </c>
      <c r="D195" s="118"/>
      <c r="E195" s="118"/>
      <c r="F195" s="122">
        <f>AJ69</f>
        <v>0</v>
      </c>
      <c r="G195" s="122">
        <f>AK69</f>
        <v>0</v>
      </c>
      <c r="H195" s="271" t="e">
        <f t="shared" ref="H195:K196" si="65">AE69</f>
        <v>#DIV/0!</v>
      </c>
      <c r="I195" s="272" t="e">
        <f t="shared" si="65"/>
        <v>#DIV/0!</v>
      </c>
      <c r="J195" s="272">
        <f t="shared" si="65"/>
        <v>0</v>
      </c>
      <c r="K195" s="272" t="e">
        <f t="shared" si="65"/>
        <v>#DIV/0!</v>
      </c>
    </row>
    <row r="196" spans="3:26">
      <c r="C196" s="121" t="s">
        <v>1982</v>
      </c>
      <c r="D196" s="118"/>
      <c r="E196" s="118"/>
      <c r="F196" s="122">
        <f>AJ70</f>
        <v>1</v>
      </c>
      <c r="G196" s="122">
        <f>AK70</f>
        <v>0.4</v>
      </c>
      <c r="H196" s="271" t="e">
        <f t="shared" si="65"/>
        <v>#DIV/0!</v>
      </c>
      <c r="I196" s="272" t="e">
        <f t="shared" si="65"/>
        <v>#DIV/0!</v>
      </c>
      <c r="J196" s="272">
        <f t="shared" si="65"/>
        <v>1</v>
      </c>
      <c r="K196" s="272" t="e">
        <f t="shared" si="65"/>
        <v>#DIV/0!</v>
      </c>
    </row>
    <row r="197" spans="3:26" ht="1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Kahlotus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Kahlotus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Kahlotus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Kahlotus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Kahlotus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Kahlotus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Kahlotus and Franklin County rental units by affordability and households by income, 2019</v>
      </c>
      <c r="D5" s="328"/>
      <c r="E5" s="328"/>
      <c r="F5" s="328"/>
      <c r="G5" s="328"/>
      <c r="H5" s="328"/>
      <c r="I5" s="328"/>
      <c r="J5" s="328"/>
      <c r="K5" s="328"/>
      <c r="L5" s="328"/>
      <c r="AA5" s="16" t="s">
        <v>2702</v>
      </c>
      <c r="AB5" s="304" t="str">
        <f>City</f>
        <v>Kahlotus city, Washington</v>
      </c>
      <c r="AC5" s="304"/>
      <c r="BP5" s="201"/>
      <c r="BQ5" s="333"/>
      <c r="BR5" s="334"/>
    </row>
    <row r="6" spans="3:70" ht="18" customHeight="1">
      <c r="C6" s="328"/>
      <c r="D6" s="328"/>
      <c r="E6" s="328"/>
      <c r="F6" s="328"/>
      <c r="G6" s="328"/>
      <c r="H6" s="328"/>
      <c r="I6" s="328"/>
      <c r="J6" s="328"/>
      <c r="K6" s="328"/>
      <c r="L6" s="328"/>
      <c r="AA6" s="16" t="s">
        <v>2703</v>
      </c>
      <c r="AB6" s="304" t="str">
        <f>County</f>
        <v>Franklin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Kahlotus</v>
      </c>
      <c r="G8" s="219"/>
      <c r="H8" s="218"/>
      <c r="I8" s="65" t="str">
        <f>City_label</f>
        <v>Kahlotus</v>
      </c>
      <c r="J8" s="219"/>
      <c r="K8" s="65" t="str">
        <f>County_label</f>
        <v>Franklin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Kahlotus</v>
      </c>
      <c r="AD10" s="63"/>
      <c r="AE10" s="220"/>
      <c r="AF10" s="63" t="str">
        <f>County_label</f>
        <v>Franklin County</v>
      </c>
      <c r="AG10" s="63"/>
      <c r="AH10" s="220"/>
      <c r="AK10" s="63" t="str">
        <f>City_label</f>
        <v>Kahlotus</v>
      </c>
      <c r="AL10" s="63"/>
      <c r="AM10" s="16"/>
      <c r="AN10" s="63" t="str">
        <f>County_label</f>
        <v>Franklin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v>
      </c>
      <c r="G11" s="208">
        <f>SUM(AD22:AE22)</f>
        <v>4</v>
      </c>
      <c r="H11" s="209"/>
      <c r="I11" s="255">
        <f>AC22/$AC$27</f>
        <v>0.2</v>
      </c>
      <c r="J11" s="255">
        <f>SUM(AD22:AE22)/SUM($AD$27:$AE$27)</f>
        <v>0.2857142857142857</v>
      </c>
      <c r="K11" s="263">
        <f>AF22/$AF$27</f>
        <v>0.21767497034400948</v>
      </c>
      <c r="L11" s="263">
        <f>SUM(AG22:AH22)/SUM($AG$27:$AH$27)</f>
        <v>0.11983471074380166</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v>
      </c>
      <c r="G12" s="208">
        <f t="shared" ref="G12:G14" si="1">SUM(AD23:AE23)</f>
        <v>10</v>
      </c>
      <c r="H12" s="209"/>
      <c r="I12" s="255">
        <f t="shared" ref="I12:I15" si="2">AC23/$AC$27</f>
        <v>0.2</v>
      </c>
      <c r="J12" s="255">
        <f t="shared" ref="J12:J14" si="3">SUM(AD23:AE23)/SUM($AD$27:$AE$27)</f>
        <v>0.7142857142857143</v>
      </c>
      <c r="K12" s="263">
        <f t="shared" ref="K12:K15" si="4">AF23/$AF$27</f>
        <v>0.20166073546856464</v>
      </c>
      <c r="L12" s="263">
        <f t="shared" ref="L12:L14" si="5">SUM(AG23:AH23)/SUM($AG$27:$AH$27)</f>
        <v>0.39374262101534829</v>
      </c>
      <c r="AA12" s="7" t="s">
        <v>2827</v>
      </c>
      <c r="AC12" s="112" t="s">
        <v>7</v>
      </c>
      <c r="AD12" s="112" t="s">
        <v>1255</v>
      </c>
      <c r="AE12" s="112" t="s">
        <v>2413</v>
      </c>
      <c r="AF12" s="112" t="s">
        <v>7</v>
      </c>
      <c r="AG12" s="112" t="s">
        <v>1255</v>
      </c>
      <c r="AH12" s="112" t="s">
        <v>2413</v>
      </c>
      <c r="AJ12" s="7" t="s">
        <v>2827</v>
      </c>
      <c r="AK12" s="222">
        <f>AC22/$AC$27</f>
        <v>0.2</v>
      </c>
      <c r="AL12" s="222">
        <f>SUM(AD22:AE22)/SUM($AD$27:$AE$27)</f>
        <v>0.2857142857142857</v>
      </c>
      <c r="AN12" s="222">
        <f>AF22/AF$27</f>
        <v>0.21767497034400948</v>
      </c>
      <c r="AO12" s="222">
        <f>SUM(AG22:AH22)/SUM($AG$27:$AH$27)</f>
        <v>0.11983471074380166</v>
      </c>
      <c r="BA12" s="316"/>
      <c r="BB12" s="316"/>
      <c r="BC12" s="316"/>
      <c r="BD12" s="316"/>
      <c r="BE12" s="316"/>
      <c r="BF12" s="316"/>
      <c r="BG12" s="316"/>
      <c r="BH12" s="316"/>
      <c r="BI12" s="316"/>
      <c r="BJ12" s="316"/>
      <c r="BK12" s="316"/>
      <c r="BL12" s="316"/>
    </row>
    <row r="13" spans="3:70" ht="18" customHeight="1">
      <c r="C13" s="43" t="s">
        <v>1980</v>
      </c>
      <c r="D13" s="29"/>
      <c r="E13" s="29"/>
      <c r="F13" s="208">
        <f t="shared" si="0"/>
        <v>0</v>
      </c>
      <c r="G13" s="208">
        <f t="shared" si="1"/>
        <v>0</v>
      </c>
      <c r="H13" s="209"/>
      <c r="I13" s="255">
        <f t="shared" si="2"/>
        <v>0</v>
      </c>
      <c r="J13" s="255">
        <f t="shared" si="3"/>
        <v>0</v>
      </c>
      <c r="K13" s="263">
        <f t="shared" si="4"/>
        <v>0.27817319098457888</v>
      </c>
      <c r="L13" s="263">
        <f t="shared" si="5"/>
        <v>0.45985832349468714</v>
      </c>
      <c r="AA13" s="7" t="s">
        <v>2828</v>
      </c>
      <c r="AC13" s="112" t="s">
        <v>8</v>
      </c>
      <c r="AD13" s="112" t="s">
        <v>1256</v>
      </c>
      <c r="AE13" s="112" t="s">
        <v>2414</v>
      </c>
      <c r="AF13" s="112" t="s">
        <v>8</v>
      </c>
      <c r="AG13" s="112" t="s">
        <v>1256</v>
      </c>
      <c r="AH13" s="112" t="s">
        <v>2414</v>
      </c>
      <c r="AJ13" s="7" t="s">
        <v>2828</v>
      </c>
      <c r="AK13" s="222">
        <f>AC23/$AC$27</f>
        <v>0.2</v>
      </c>
      <c r="AL13" s="222">
        <f t="shared" ref="AL13:AL15" si="6">SUM(AD23:AE23)/SUM($AD$27:$AE$27)</f>
        <v>0.7142857142857143</v>
      </c>
      <c r="AN13" s="222">
        <f t="shared" ref="AN13:AN14" si="7">AF23/AF$27</f>
        <v>0.20166073546856464</v>
      </c>
      <c r="AO13" s="222">
        <f t="shared" ref="AO13:AO15" si="8">SUM(AG23:AH23)/SUM($AG$27:$AH$27)</f>
        <v>0.39374262101534829</v>
      </c>
    </row>
    <row r="14" spans="3:70" ht="18" customHeight="1">
      <c r="C14" s="43" t="s">
        <v>2816</v>
      </c>
      <c r="D14" s="29"/>
      <c r="E14" s="29"/>
      <c r="F14" s="210">
        <f t="shared" si="0"/>
        <v>0</v>
      </c>
      <c r="G14" s="208">
        <f t="shared" si="1"/>
        <v>0</v>
      </c>
      <c r="H14" s="211"/>
      <c r="I14" s="255">
        <f t="shared" si="2"/>
        <v>0</v>
      </c>
      <c r="J14" s="255">
        <f t="shared" si="3"/>
        <v>0</v>
      </c>
      <c r="K14" s="263">
        <f t="shared" si="4"/>
        <v>0.11447212336892053</v>
      </c>
      <c r="L14" s="263">
        <f t="shared" si="5"/>
        <v>2.7744982290436836E-2</v>
      </c>
      <c r="AA14" s="7" t="s">
        <v>2829</v>
      </c>
      <c r="AC14" s="112" t="s">
        <v>9</v>
      </c>
      <c r="AD14" s="112" t="s">
        <v>1257</v>
      </c>
      <c r="AE14" s="112" t="s">
        <v>2415</v>
      </c>
      <c r="AF14" s="112" t="s">
        <v>9</v>
      </c>
      <c r="AG14" s="112" t="s">
        <v>1257</v>
      </c>
      <c r="AH14" s="112" t="s">
        <v>2415</v>
      </c>
      <c r="AJ14" s="7" t="s">
        <v>2829</v>
      </c>
      <c r="AK14" s="222">
        <f>AC24/$AC$27</f>
        <v>0</v>
      </c>
      <c r="AL14" s="222">
        <f t="shared" si="6"/>
        <v>0</v>
      </c>
      <c r="AN14" s="222">
        <f t="shared" si="7"/>
        <v>0.27817319098457888</v>
      </c>
      <c r="AO14" s="222">
        <f t="shared" si="8"/>
        <v>0.45985832349468714</v>
      </c>
      <c r="BP14" s="185"/>
      <c r="BQ14" s="185"/>
      <c r="BR14" s="185"/>
    </row>
    <row r="15" spans="3:70" ht="18" customHeight="1">
      <c r="C15" s="70" t="s">
        <v>2818</v>
      </c>
      <c r="D15" s="70"/>
      <c r="E15" s="70"/>
      <c r="F15" s="212">
        <f t="shared" si="0"/>
        <v>10</v>
      </c>
      <c r="G15" s="212">
        <f>AD26</f>
        <v>0</v>
      </c>
      <c r="H15" s="213"/>
      <c r="I15" s="264">
        <f t="shared" si="2"/>
        <v>0.5</v>
      </c>
      <c r="J15" s="264"/>
      <c r="K15" s="265">
        <f t="shared" si="4"/>
        <v>0.1874258600237248</v>
      </c>
      <c r="L15" s="265"/>
      <c r="AA15" s="7" t="s">
        <v>2831</v>
      </c>
      <c r="AC15" s="112" t="s">
        <v>10</v>
      </c>
      <c r="AD15" s="112" t="s">
        <v>1258</v>
      </c>
      <c r="AE15" s="112" t="s">
        <v>2416</v>
      </c>
      <c r="AF15" s="112" t="s">
        <v>10</v>
      </c>
      <c r="AG15" s="112" t="s">
        <v>1258</v>
      </c>
      <c r="AH15" s="112" t="s">
        <v>2416</v>
      </c>
      <c r="AJ15" s="7" t="s">
        <v>2831</v>
      </c>
      <c r="AK15" s="224">
        <f>SUM(AC25:AC26)/$AC$27</f>
        <v>0.5</v>
      </c>
      <c r="AL15" s="224">
        <f t="shared" si="6"/>
        <v>0</v>
      </c>
      <c r="AM15" s="35"/>
      <c r="AN15" s="224">
        <f>SUM(AF25:AF26)/AF$27</f>
        <v>0.30189798339264534</v>
      </c>
      <c r="AO15" s="224">
        <f t="shared" si="8"/>
        <v>2.7744982290436836E-2</v>
      </c>
      <c r="BA15" s="7"/>
      <c r="BP15" s="185"/>
      <c r="BQ15" s="337" t="s">
        <v>2813</v>
      </c>
      <c r="BR15" s="338"/>
    </row>
    <row r="16" spans="3:70" ht="18" customHeight="1">
      <c r="C16" s="81" t="s">
        <v>1</v>
      </c>
      <c r="D16" s="16"/>
      <c r="E16" s="16"/>
      <c r="F16" s="221">
        <f t="shared" si="0"/>
        <v>20</v>
      </c>
      <c r="G16" s="221">
        <f>SUM(G11:G15)</f>
        <v>14</v>
      </c>
      <c r="AA16" s="28" t="s">
        <v>2725</v>
      </c>
      <c r="AC16" s="112" t="s">
        <v>11</v>
      </c>
      <c r="AD16" s="112"/>
      <c r="AE16" s="112"/>
      <c r="AF16" s="112" t="s">
        <v>11</v>
      </c>
      <c r="AG16" s="112"/>
      <c r="AH16" s="112"/>
      <c r="AJ16" s="28"/>
      <c r="AK16" s="223">
        <f>SUM(AK12:AK15)</f>
        <v>0.9</v>
      </c>
      <c r="AL16" s="223">
        <f>SUM(AL12:AL15)</f>
        <v>1</v>
      </c>
      <c r="AN16" s="223">
        <f t="shared" ref="AN16:AO16" si="9">SUM(AN12:AN15)</f>
        <v>0.9994068801897984</v>
      </c>
      <c r="AO16" s="223">
        <f t="shared" si="9"/>
        <v>1.001180637544274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Kahlotus and Franklin County renter household income compared to rental unit affordability, 2019</v>
      </c>
      <c r="D20" s="301"/>
      <c r="E20" s="301"/>
      <c r="F20" s="301"/>
      <c r="G20" s="301"/>
      <c r="H20" s="301"/>
      <c r="I20" s="301"/>
      <c r="J20" s="301"/>
      <c r="K20" s="301"/>
      <c r="L20" s="301"/>
      <c r="AA20" s="31"/>
      <c r="AC20" s="63" t="str">
        <f>City_label</f>
        <v>Kahlotus</v>
      </c>
      <c r="AD20" s="63"/>
      <c r="AE20" s="63"/>
      <c r="AF20" s="63" t="str">
        <f>County_label</f>
        <v>Franklin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v>
      </c>
      <c r="AD22" s="1">
        <v>4</v>
      </c>
      <c r="AE22" s="1">
        <v>0</v>
      </c>
      <c r="AF22" s="1">
        <v>1835</v>
      </c>
      <c r="AG22" s="1">
        <v>965</v>
      </c>
      <c r="AH22" s="1">
        <v>50</v>
      </c>
    </row>
    <row r="23" spans="3:71" ht="17.25" customHeight="1">
      <c r="AA23" s="7" t="s">
        <v>2828</v>
      </c>
      <c r="AC23" s="1">
        <v>4</v>
      </c>
      <c r="AD23" s="1">
        <v>10</v>
      </c>
      <c r="AE23" s="1">
        <v>0</v>
      </c>
      <c r="AF23" s="1">
        <v>1700</v>
      </c>
      <c r="AG23" s="1">
        <v>3205</v>
      </c>
      <c r="AH23" s="1">
        <v>130</v>
      </c>
    </row>
    <row r="24" spans="3:71" ht="17.25" customHeight="1">
      <c r="C24" s="51"/>
      <c r="AA24" s="7" t="s">
        <v>2829</v>
      </c>
      <c r="AC24" s="1">
        <v>0</v>
      </c>
      <c r="AD24" s="1">
        <v>0</v>
      </c>
      <c r="AE24" s="1">
        <v>0</v>
      </c>
      <c r="AF24" s="1">
        <v>2345</v>
      </c>
      <c r="AG24" s="1">
        <v>3835</v>
      </c>
      <c r="AH24" s="1">
        <v>60</v>
      </c>
    </row>
    <row r="25" spans="3:71" ht="17.25" customHeight="1">
      <c r="C25" s="51"/>
      <c r="AA25" s="7" t="s">
        <v>2831</v>
      </c>
      <c r="AC25" s="1">
        <v>0</v>
      </c>
      <c r="AD25" s="1">
        <v>0</v>
      </c>
      <c r="AE25" s="1">
        <v>0</v>
      </c>
      <c r="AF25" s="1">
        <v>965</v>
      </c>
      <c r="AG25" s="1">
        <v>235</v>
      </c>
      <c r="AH25" s="1">
        <v>0</v>
      </c>
    </row>
    <row r="26" spans="3:71" ht="17.25" customHeight="1">
      <c r="C26" s="51"/>
      <c r="AA26" s="28" t="s">
        <v>2725</v>
      </c>
      <c r="AC26" s="1">
        <v>10</v>
      </c>
      <c r="AD26" s="1"/>
      <c r="AE26" s="1"/>
      <c r="AF26" s="1">
        <v>1580</v>
      </c>
      <c r="AG26" s="1"/>
      <c r="AH26" s="1"/>
      <c r="AI26" s="31"/>
    </row>
    <row r="27" spans="3:71" ht="18">
      <c r="C27" s="51"/>
      <c r="AA27" s="7" t="s">
        <v>2</v>
      </c>
      <c r="AC27" s="2">
        <v>20</v>
      </c>
      <c r="AD27" s="1">
        <v>14</v>
      </c>
      <c r="AE27" s="1">
        <v>0</v>
      </c>
      <c r="AF27" s="2">
        <v>8430</v>
      </c>
      <c r="AG27" s="1">
        <v>8235</v>
      </c>
      <c r="AH27" s="1">
        <v>235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4</v>
      </c>
      <c r="AE35" s="188">
        <f>AD35-AC35</f>
        <v>0</v>
      </c>
      <c r="AF35" s="31"/>
      <c r="AG35" s="5">
        <f>MAX(AC35,AD35)</f>
        <v>4</v>
      </c>
      <c r="AH35" s="5">
        <f>AG35+$AH$39</f>
        <v>4.4000000000000004</v>
      </c>
      <c r="AI35" t="str">
        <f>IF(AE35&lt;0,"Shortfall:",IF(AE35&gt;0,"Surplus: ",""))&amp;CHAR(10)&amp;TEXT((AE35),"+#,##0;-#,##0;0")&amp;" units"</f>
        <v xml:space="preserve">
0 units</v>
      </c>
    </row>
    <row r="36" spans="3:39">
      <c r="AA36" s="7" t="s">
        <v>2828</v>
      </c>
      <c r="AB36" s="164" t="s">
        <v>1271</v>
      </c>
      <c r="AC36" s="5">
        <f>AC23</f>
        <v>4</v>
      </c>
      <c r="AD36" s="33">
        <f>SUM(AD23:AE23)</f>
        <v>10</v>
      </c>
      <c r="AE36" s="188">
        <f>AD36-AC36</f>
        <v>6</v>
      </c>
      <c r="AF36" s="31"/>
      <c r="AG36" s="5">
        <f>MAX(AC36,AD36)</f>
        <v>10</v>
      </c>
      <c r="AH36" s="5">
        <f>AG36+$AH$39</f>
        <v>10.4</v>
      </c>
      <c r="AI36" t="str">
        <f>IF(AE36&lt;0,"Shortfall:",IF(AE36&gt;0,"Surplus: ",""))&amp;CHAR(10)&amp;TEXT((AE36),"+#,##0;-#,##0;0")&amp;" units"</f>
        <v>Surplus: 
+6 units</v>
      </c>
    </row>
    <row r="37" spans="3:39">
      <c r="AA37" s="7" t="s">
        <v>2829</v>
      </c>
      <c r="AB37" s="164" t="s">
        <v>1272</v>
      </c>
      <c r="AC37" s="5">
        <f>AC24</f>
        <v>0</v>
      </c>
      <c r="AD37" s="33">
        <f>SUM(AD24:AE24)</f>
        <v>0</v>
      </c>
      <c r="AE37" s="188">
        <f>AD37-AC37</f>
        <v>0</v>
      </c>
      <c r="AF37" s="31"/>
      <c r="AG37" s="5">
        <f>MAX(AC37,AD37)</f>
        <v>0</v>
      </c>
      <c r="AH37" s="5">
        <f>AG37+$AH$39</f>
        <v>0.4</v>
      </c>
      <c r="AI37" t="str">
        <f>IF(AE37&lt;0,"Shortfall:",IF(AE37&gt;0,"Surplus: ",""))&amp;CHAR(10)&amp;TEXT((AE37),"+#,##0;-#,##0;0")&amp;" units"</f>
        <v xml:space="preserve">
0 units</v>
      </c>
    </row>
    <row r="38" spans="3:39">
      <c r="AA38" s="7" t="s">
        <v>2831</v>
      </c>
      <c r="AB38" s="164" t="s">
        <v>1273</v>
      </c>
      <c r="AC38" s="5">
        <f>SUM(AC25:AC26)</f>
        <v>10</v>
      </c>
      <c r="AD38" s="33">
        <f>SUM(AD25:AE25)</f>
        <v>0</v>
      </c>
      <c r="AE38" s="188">
        <f>AD38-AC38</f>
        <v>-10</v>
      </c>
      <c r="AF38" s="31"/>
      <c r="AG38" s="5">
        <f>MAX(AC38,AD38)</f>
        <v>10</v>
      </c>
      <c r="AH38" s="5">
        <f>AG38+$AH$39</f>
        <v>10.4</v>
      </c>
      <c r="AI38" t="str">
        <f>IF(AE38&lt;0,"Shortfall:",IF(AE38&gt;0,"Surplus: ",""))&amp;CHAR(10)&amp;TEXT((AE38),"+#,##0;-#,##0;0")&amp;" units"</f>
        <v>Shortfall:
-10 units</v>
      </c>
    </row>
    <row r="39" spans="3:39">
      <c r="AA39" s="28" t="s">
        <v>2725</v>
      </c>
      <c r="AC39" s="5">
        <f>AC27</f>
        <v>20</v>
      </c>
      <c r="AD39" s="33">
        <f>SUM(AD27:AE27)</f>
        <v>14</v>
      </c>
      <c r="AE39" s="33"/>
      <c r="AF39" s="31"/>
      <c r="AG39" s="59" t="s">
        <v>2682</v>
      </c>
      <c r="AH39" s="109">
        <f>0.1*MAX(AC35:AC37)</f>
        <v>0.4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Kahlotus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4</v>
      </c>
      <c r="AD55" s="1">
        <v>10</v>
      </c>
      <c r="AE55" s="1">
        <v>0</v>
      </c>
    </row>
    <row r="56" spans="27:39">
      <c r="AA56" s="7" t="s">
        <v>2828</v>
      </c>
      <c r="AB56" s="31" t="s">
        <v>1271</v>
      </c>
      <c r="AC56" s="1">
        <v>4</v>
      </c>
      <c r="AD56" s="1">
        <v>4</v>
      </c>
      <c r="AE56" s="1">
        <v>10</v>
      </c>
    </row>
    <row r="57" spans="27:39">
      <c r="AA57" s="7" t="s">
        <v>2829</v>
      </c>
      <c r="AB57" s="31" t="s">
        <v>1272</v>
      </c>
      <c r="AC57" s="1">
        <v>10</v>
      </c>
      <c r="AD57" s="1">
        <v>10</v>
      </c>
      <c r="AE57" s="1">
        <v>0</v>
      </c>
    </row>
    <row r="58" spans="27:39">
      <c r="AA58" s="7" t="s">
        <v>2831</v>
      </c>
      <c r="AB58" s="31" t="s">
        <v>1273</v>
      </c>
      <c r="AC58" s="1">
        <v>0</v>
      </c>
      <c r="AD58" s="1">
        <v>0</v>
      </c>
      <c r="AE58" s="1">
        <v>0</v>
      </c>
    </row>
    <row r="59" spans="27:39">
      <c r="AA59" s="28" t="s">
        <v>2725</v>
      </c>
      <c r="AB59" s="31"/>
      <c r="AC59" s="1">
        <v>4</v>
      </c>
      <c r="AD59" s="1"/>
      <c r="AE59" s="1"/>
    </row>
    <row r="60" spans="27:39" ht="15">
      <c r="AA60" s="7" t="s">
        <v>2</v>
      </c>
      <c r="AB60" s="31"/>
      <c r="AC60" s="2">
        <v>20</v>
      </c>
      <c r="AD60" s="2">
        <v>20</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10</v>
      </c>
      <c r="AE65" s="97">
        <f>AD65-AC65</f>
        <v>6</v>
      </c>
      <c r="AF65" s="31"/>
      <c r="AG65" s="5">
        <f>MAX(AC65,AD65)</f>
        <v>10</v>
      </c>
      <c r="AH65" s="5">
        <f>AG65+$AH$39</f>
        <v>10.4</v>
      </c>
      <c r="AI65" t="str">
        <f>IF(AE65&lt;0,"Shortfall:",IF(AE65&gt;0,"Surplus: ",""))&amp;CHAR(10)&amp;TEXT((AE65),"+#,##0;-#,##0;0")&amp;" units"</f>
        <v>Surplus: 
+6 units</v>
      </c>
      <c r="AK65" s="31"/>
      <c r="AL65" s="31"/>
      <c r="AM65" s="31"/>
    </row>
    <row r="66" spans="3:39" ht="15">
      <c r="AA66" s="7"/>
      <c r="AB66" s="31" t="s">
        <v>1271</v>
      </c>
      <c r="AC66" s="5">
        <f>SUM(AC56)</f>
        <v>4</v>
      </c>
      <c r="AD66" s="33">
        <f>SUM(AD56:AE56)</f>
        <v>14</v>
      </c>
      <c r="AE66" s="97">
        <f>AD66-AC66</f>
        <v>10</v>
      </c>
      <c r="AF66" s="31"/>
      <c r="AG66" s="5">
        <f>MAX(AC66,AD66)</f>
        <v>14</v>
      </c>
      <c r="AH66" s="5">
        <f>AG66+$AH$39</f>
        <v>14.4</v>
      </c>
      <c r="AI66" t="str">
        <f>IF(AE66&lt;0,"Shortfall:",IF(AE66&gt;0,"Surplus: ",""))&amp;CHAR(10)&amp;TEXT((AE66),"+#,##0;-#,##0;0")&amp;" units"</f>
        <v>Surplus: 
+10 units</v>
      </c>
      <c r="AK66" s="31"/>
      <c r="AL66" s="31"/>
      <c r="AM66" s="31"/>
    </row>
    <row r="67" spans="3:39" ht="15">
      <c r="AA67" s="7"/>
      <c r="AB67" s="31" t="s">
        <v>1272</v>
      </c>
      <c r="AC67" s="5">
        <f>SUM(AC57)</f>
        <v>10</v>
      </c>
      <c r="AD67" s="33">
        <f>SUM(AD57:AE57)</f>
        <v>10</v>
      </c>
      <c r="AE67" s="97">
        <f>AD67-AC67</f>
        <v>0</v>
      </c>
      <c r="AF67" s="31"/>
      <c r="AG67" s="5">
        <f>MAX(AC67,AD67)</f>
        <v>10</v>
      </c>
      <c r="AH67" s="5">
        <f>AG67+$AH$39</f>
        <v>10.4</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1273</v>
      </c>
      <c r="AC68" s="5">
        <f>SUM(AC58:AC59)</f>
        <v>4</v>
      </c>
      <c r="AD68" s="33">
        <f>SUM(AD58:AE58)</f>
        <v>0</v>
      </c>
      <c r="AE68" s="97">
        <f>AD68-AC68</f>
        <v>-4</v>
      </c>
      <c r="AF68" s="31"/>
      <c r="AG68" s="5">
        <f>MAX(AC68,AD68)</f>
        <v>4</v>
      </c>
      <c r="AH68" s="5">
        <f>AG68+$AH$39</f>
        <v>4.4000000000000004</v>
      </c>
      <c r="AI68" t="str">
        <f>IF(AE68&lt;0,"Shortfall:",IF(AE68&gt;0,"Surplus: ",""))&amp;CHAR(10)&amp;TEXT((AE68),"+#,##0;-#,##0;0")&amp;" units"</f>
        <v>Shortfall:
-4 units</v>
      </c>
      <c r="AK68" s="31"/>
      <c r="AL68" s="31"/>
      <c r="AM68" s="31"/>
    </row>
    <row r="69" spans="3:39" ht="18.75" customHeight="1">
      <c r="C69" s="200"/>
      <c r="D69" s="200"/>
      <c r="E69" s="200"/>
      <c r="F69" s="200"/>
      <c r="G69" s="200"/>
      <c r="H69" s="200"/>
      <c r="I69" s="200"/>
      <c r="J69" s="200"/>
      <c r="K69" s="200"/>
      <c r="L69" s="200"/>
      <c r="AA69" s="7"/>
      <c r="AB69" s="31"/>
      <c r="AC69" s="5">
        <f>AC60</f>
        <v>20</v>
      </c>
      <c r="AD69" s="33">
        <f>SUM(AD60:AE60)</f>
        <v>30</v>
      </c>
      <c r="AE69" s="33"/>
      <c r="AF69" s="31"/>
      <c r="AG69" s="59" t="s">
        <v>2682</v>
      </c>
      <c r="AH69" s="109">
        <f>0.1*MAX(AC65:AC68)</f>
        <v>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Kahlotus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-6</v>
      </c>
      <c r="AE78" s="5">
        <f>AD78-AC78</f>
        <v>-6</v>
      </c>
      <c r="AG78" s="5">
        <f>MAX(AC78,AD78)</f>
        <v>0</v>
      </c>
      <c r="AH78" s="5">
        <f>MAX(AG78,0)+$AH$82</f>
        <v>3.2</v>
      </c>
      <c r="AI78" t="str">
        <f>"Difference:"&amp;CHAR(10)&amp;TEXT(AE78,"+#,##0;-#,##0;0")&amp;" units"</f>
        <v>Difference:
-6 units</v>
      </c>
    </row>
    <row r="79" spans="3:39" ht="18" customHeight="1">
      <c r="C79" s="328"/>
      <c r="D79" s="328"/>
      <c r="E79" s="328"/>
      <c r="F79" s="328"/>
      <c r="G79" s="328"/>
      <c r="H79" s="328"/>
      <c r="I79" s="328"/>
      <c r="J79" s="328"/>
      <c r="K79" s="328"/>
      <c r="L79" s="328"/>
      <c r="AB79" s="31" t="s">
        <v>1271</v>
      </c>
      <c r="AC79" s="5">
        <f t="shared" si="10"/>
        <v>0</v>
      </c>
      <c r="AD79" s="5">
        <f t="shared" si="10"/>
        <v>-4</v>
      </c>
      <c r="AE79" s="5">
        <f>AD79-AC79</f>
        <v>-4</v>
      </c>
      <c r="AG79" s="5">
        <f>MAX(AC79,AD79)</f>
        <v>0</v>
      </c>
      <c r="AH79" s="5">
        <f>MAX(AG79,0)+$AH$82</f>
        <v>3.2</v>
      </c>
      <c r="AI79" t="str">
        <f>"Difference:"&amp;CHAR(10)&amp;TEXT(AE79,"+#,##0;-#,##0;0")&amp;" units"</f>
        <v>Difference:
-4 units</v>
      </c>
    </row>
    <row r="80" spans="3:39" ht="18">
      <c r="C80" s="192"/>
      <c r="D80" s="192"/>
      <c r="E80" s="192"/>
      <c r="F80" s="192"/>
      <c r="G80" s="192"/>
      <c r="H80" s="192"/>
      <c r="I80" s="192"/>
      <c r="J80" s="192"/>
      <c r="K80" s="192"/>
      <c r="L80" s="192"/>
      <c r="AB80" s="31" t="s">
        <v>1272</v>
      </c>
      <c r="AC80" s="5">
        <f t="shared" si="10"/>
        <v>-10</v>
      </c>
      <c r="AD80" s="5">
        <f t="shared" si="10"/>
        <v>-10</v>
      </c>
      <c r="AE80" s="5">
        <f>AD80-AC80</f>
        <v>0</v>
      </c>
      <c r="AG80" s="5">
        <f>MAX(AC80,AD80)</f>
        <v>-10</v>
      </c>
      <c r="AH80" s="5">
        <f>MAX(AG80,0)+$AH$82</f>
        <v>3.2</v>
      </c>
      <c r="AI80" t="str">
        <f>"Difference:"&amp;CHAR(10)&amp;TEXT(AE80,"+#,##0;-#,##0;0")&amp;" units"</f>
        <v>Difference:
0 units</v>
      </c>
    </row>
    <row r="81" spans="28:35">
      <c r="AB81" s="31" t="s">
        <v>1273</v>
      </c>
      <c r="AC81" s="5">
        <f>AC39-AC68</f>
        <v>16</v>
      </c>
      <c r="AD81" s="5">
        <f>AD39-AD68</f>
        <v>14</v>
      </c>
      <c r="AE81" s="5">
        <f>AD81-AC81</f>
        <v>-2</v>
      </c>
      <c r="AG81" s="5">
        <f>MAX(AC81,AD81)</f>
        <v>16</v>
      </c>
      <c r="AH81" s="5">
        <f>MAX(AG81,0)+$AH$82</f>
        <v>19.2</v>
      </c>
      <c r="AI81" t="str">
        <f>"Difference:"&amp;CHAR(10)&amp;TEXT(AE81,"+#,##0;-#,##0;0")&amp;" units"</f>
        <v>Difference:
-2 units</v>
      </c>
    </row>
    <row r="82" spans="28:35" ht="13.9" customHeight="1">
      <c r="AG82" s="59" t="s">
        <v>2682</v>
      </c>
      <c r="AH82" s="109">
        <f>0.2*MAX(AB78:AC81)</f>
        <v>3.2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Kahlotus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Kahlotus count of households by income and race, 2019</v>
      </c>
      <c r="AA6" s="126" t="s">
        <v>2703</v>
      </c>
      <c r="AB6" s="360" t="str">
        <f>County_label</f>
        <v>Franklin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v>
      </c>
      <c r="G14" s="182">
        <f t="shared" si="0"/>
        <v>0</v>
      </c>
      <c r="H14" s="182">
        <f t="shared" si="0"/>
        <v>8</v>
      </c>
      <c r="I14" s="230">
        <f>J14-SUM(C14:H14)</f>
        <v>-4</v>
      </c>
      <c r="J14" s="182">
        <f>AI101</f>
        <v>8</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8</v>
      </c>
      <c r="G15" s="182">
        <f t="shared" si="0"/>
        <v>0</v>
      </c>
      <c r="H15" s="182">
        <f t="shared" si="0"/>
        <v>8</v>
      </c>
      <c r="I15" s="230">
        <f t="shared" ref="I15:I18" si="1">J15-SUM(C15:H15)</f>
        <v>-4</v>
      </c>
      <c r="J15" s="182">
        <f>AI102</f>
        <v>12</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14</v>
      </c>
      <c r="I16" s="230">
        <f t="shared" si="1"/>
        <v>0</v>
      </c>
      <c r="J16" s="182">
        <f>AI103</f>
        <v>14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4</v>
      </c>
      <c r="G17" s="182">
        <f t="shared" si="0"/>
        <v>0</v>
      </c>
      <c r="H17" s="182">
        <f t="shared" si="0"/>
        <v>20</v>
      </c>
      <c r="I17" s="230">
        <f t="shared" si="1"/>
        <v>-4</v>
      </c>
      <c r="J17" s="182">
        <f>AI104</f>
        <v>20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14</v>
      </c>
      <c r="I18" s="231">
        <f t="shared" si="1"/>
        <v>-4</v>
      </c>
      <c r="J18" s="207">
        <f>AI105</f>
        <v>14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20</v>
      </c>
      <c r="G19" s="228">
        <f t="shared" si="2"/>
        <v>0</v>
      </c>
      <c r="H19" s="228">
        <f t="shared" si="2"/>
        <v>64</v>
      </c>
      <c r="I19" s="232">
        <f t="shared" si="2"/>
        <v>-16</v>
      </c>
      <c r="J19" s="228">
        <f>AI49+AI94</f>
        <v>68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0.5</v>
      </c>
      <c r="G22" s="180">
        <f t="shared" si="3"/>
        <v>0</v>
      </c>
      <c r="H22" s="180">
        <f t="shared" si="3"/>
        <v>1</v>
      </c>
      <c r="I22" s="180">
        <f t="shared" si="3"/>
        <v>-0.5</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0.66666666666666663</v>
      </c>
      <c r="G23" s="180">
        <f t="shared" si="3"/>
        <v>0</v>
      </c>
      <c r="H23" s="180">
        <f t="shared" si="3"/>
        <v>0.66666666666666663</v>
      </c>
      <c r="I23" s="180">
        <f t="shared" si="3"/>
        <v>-0.33333333333333331</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0.2</v>
      </c>
      <c r="G25" s="180">
        <f t="shared" si="3"/>
        <v>0</v>
      </c>
      <c r="H25" s="180">
        <f t="shared" si="3"/>
        <v>1</v>
      </c>
      <c r="I25" s="180">
        <f t="shared" si="3"/>
        <v>-0.2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0.2857142857142857</v>
      </c>
      <c r="G26" s="181">
        <f t="shared" si="3"/>
        <v>0</v>
      </c>
      <c r="H26" s="181">
        <f t="shared" si="3"/>
        <v>1</v>
      </c>
      <c r="I26" s="181">
        <f t="shared" si="3"/>
        <v>-0.2857142857142857</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Kahlotus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4</v>
      </c>
      <c r="AC37" s="174">
        <v>0</v>
      </c>
      <c r="AD37" s="174">
        <v>0</v>
      </c>
      <c r="AE37" s="174">
        <v>0</v>
      </c>
      <c r="AF37" s="174">
        <v>0</v>
      </c>
      <c r="AG37" s="174">
        <v>4</v>
      </c>
      <c r="AH37" s="174"/>
      <c r="AI37" s="174">
        <v>4</v>
      </c>
      <c r="AJ37" s="86">
        <f>(SUM(AB37:AH37))-AI37</f>
        <v>4</v>
      </c>
      <c r="AM37" s="174">
        <v>0</v>
      </c>
      <c r="AN37" s="174">
        <v>0</v>
      </c>
      <c r="AO37" s="174">
        <v>0</v>
      </c>
      <c r="AP37" s="174">
        <v>0</v>
      </c>
      <c r="AQ37" s="174">
        <v>0</v>
      </c>
      <c r="AR37" s="174">
        <v>0</v>
      </c>
      <c r="AS37" s="174">
        <v>4</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4</v>
      </c>
      <c r="AC43" s="174">
        <v>0</v>
      </c>
      <c r="AD43" s="174">
        <v>0</v>
      </c>
      <c r="AE43" s="174">
        <v>0</v>
      </c>
      <c r="AF43" s="174">
        <v>0</v>
      </c>
      <c r="AG43" s="174">
        <v>20</v>
      </c>
      <c r="AH43" s="174"/>
      <c r="AI43" s="174">
        <v>20</v>
      </c>
      <c r="AJ43" s="86">
        <f>(SUM(AB43:AH43))-AI43</f>
        <v>4</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4</v>
      </c>
      <c r="AC46" s="174">
        <v>0</v>
      </c>
      <c r="AD46" s="174">
        <v>0</v>
      </c>
      <c r="AE46" s="174">
        <v>0</v>
      </c>
      <c r="AF46" s="174">
        <v>0</v>
      </c>
      <c r="AG46" s="174">
        <v>4</v>
      </c>
      <c r="AH46" s="174"/>
      <c r="AI46" s="174">
        <v>4</v>
      </c>
      <c r="AJ46" s="86">
        <f>(SUM(AB46:AH46))-AI46</f>
        <v>4</v>
      </c>
      <c r="AM46" s="174">
        <v>0</v>
      </c>
      <c r="AN46" s="174">
        <v>0</v>
      </c>
      <c r="AO46" s="174">
        <v>0</v>
      </c>
      <c r="AP46" s="174">
        <v>0</v>
      </c>
      <c r="AQ46" s="174">
        <v>0</v>
      </c>
      <c r="AR46" s="174">
        <v>10</v>
      </c>
      <c r="AS46" s="174">
        <v>0</v>
      </c>
      <c r="AT46" s="174">
        <v>10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12</v>
      </c>
      <c r="AC48" s="86">
        <f t="shared" ref="AC48:AH48" si="5">SUM(AC33:AC47)</f>
        <v>0</v>
      </c>
      <c r="AD48" s="86">
        <f t="shared" si="5"/>
        <v>0</v>
      </c>
      <c r="AE48" s="86">
        <f t="shared" si="5"/>
        <v>0</v>
      </c>
      <c r="AF48" s="86">
        <f t="shared" si="5"/>
        <v>0</v>
      </c>
      <c r="AG48" s="86">
        <f t="shared" si="5"/>
        <v>50</v>
      </c>
      <c r="AH48" s="86">
        <f t="shared" si="5"/>
        <v>0</v>
      </c>
      <c r="AI48" s="86">
        <f t="shared" ref="AI48" si="6">SUM(AI33:AI47)</f>
        <v>50</v>
      </c>
      <c r="AJ48" s="86"/>
      <c r="AZ48" s="19"/>
      <c r="BA48" s="19"/>
      <c r="BB48" s="19"/>
      <c r="BC48" s="19"/>
      <c r="BD48" s="19"/>
    </row>
    <row r="49" spans="2:56" ht="13.9" customHeight="1">
      <c r="AA49" s="171" t="s">
        <v>2786</v>
      </c>
      <c r="AI49" s="227">
        <v>50</v>
      </c>
      <c r="AJ49" s="86">
        <f>SUM(AJ33:AJ46)</f>
        <v>12</v>
      </c>
      <c r="AL49" s="171" t="s">
        <v>2774</v>
      </c>
      <c r="AT49" s="174">
        <v>35</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4</v>
      </c>
      <c r="AC52" s="86">
        <f t="shared" ref="AC52:AI52" si="9">SUM(AC36:AC38)</f>
        <v>0</v>
      </c>
      <c r="AD52" s="86">
        <f t="shared" si="9"/>
        <v>0</v>
      </c>
      <c r="AE52" s="86">
        <f t="shared" si="9"/>
        <v>0</v>
      </c>
      <c r="AF52" s="86">
        <f t="shared" si="9"/>
        <v>0</v>
      </c>
      <c r="AG52" s="86">
        <f t="shared" si="9"/>
        <v>8</v>
      </c>
      <c r="AH52" s="86">
        <f t="shared" si="9"/>
        <v>0</v>
      </c>
      <c r="AI52" s="86">
        <f t="shared" si="9"/>
        <v>8</v>
      </c>
      <c r="AL52" s="60" t="s">
        <v>1977</v>
      </c>
      <c r="AM52" s="86">
        <f t="shared" ref="AM52:AR52" si="10">SUM(AM36:AM38)</f>
        <v>0</v>
      </c>
      <c r="AN52" s="86">
        <f t="shared" si="10"/>
        <v>0</v>
      </c>
      <c r="AO52" s="86">
        <f t="shared" si="10"/>
        <v>0</v>
      </c>
      <c r="AP52" s="86">
        <f t="shared" si="10"/>
        <v>0</v>
      </c>
      <c r="AQ52" s="86">
        <f t="shared" si="10"/>
        <v>0</v>
      </c>
      <c r="AR52" s="86">
        <f t="shared" si="10"/>
        <v>0</v>
      </c>
      <c r="AS52" s="5">
        <f>SUM(AS36:AS38)</f>
        <v>4</v>
      </c>
      <c r="AT52" s="86">
        <f>SUM(AT36:AT38)</f>
        <v>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14</v>
      </c>
      <c r="AH53" s="86">
        <f t="shared" si="11"/>
        <v>0</v>
      </c>
      <c r="AI53" s="86">
        <f t="shared" si="11"/>
        <v>14</v>
      </c>
      <c r="AL53" s="60" t="s">
        <v>1978</v>
      </c>
      <c r="AM53" s="86">
        <f t="shared" ref="AM53:AR53" si="12">SUM(AM39:AM41)</f>
        <v>0</v>
      </c>
      <c r="AN53" s="86">
        <f t="shared" si="12"/>
        <v>0</v>
      </c>
      <c r="AO53" s="86">
        <f t="shared" si="12"/>
        <v>0</v>
      </c>
      <c r="AP53" s="86">
        <f t="shared" si="12"/>
        <v>0</v>
      </c>
      <c r="AQ53" s="86">
        <f t="shared" si="12"/>
        <v>0</v>
      </c>
      <c r="AR53" s="86">
        <f t="shared" si="12"/>
        <v>10</v>
      </c>
      <c r="AS53" s="5">
        <f>SUM(AS39:AS41)</f>
        <v>0</v>
      </c>
      <c r="AT53" s="86">
        <f>SUM(AT39:AT41)</f>
        <v>10</v>
      </c>
      <c r="AZ53" s="19"/>
      <c r="BA53" s="19"/>
      <c r="BB53" s="19"/>
      <c r="BC53" s="19"/>
      <c r="BD53" s="19"/>
    </row>
    <row r="54" spans="2:56" ht="16.5" customHeight="1">
      <c r="AA54" s="60" t="s">
        <v>1979</v>
      </c>
      <c r="AB54" s="86">
        <f>SUM(AB42:AB44)</f>
        <v>4</v>
      </c>
      <c r="AC54" s="86">
        <f t="shared" ref="AC54:AI54" si="13">SUM(AC42:AC44)</f>
        <v>0</v>
      </c>
      <c r="AD54" s="86">
        <f t="shared" si="13"/>
        <v>0</v>
      </c>
      <c r="AE54" s="86">
        <f t="shared" si="13"/>
        <v>0</v>
      </c>
      <c r="AF54" s="86">
        <f t="shared" si="13"/>
        <v>0</v>
      </c>
      <c r="AG54" s="86">
        <f t="shared" si="13"/>
        <v>20</v>
      </c>
      <c r="AH54" s="86">
        <f t="shared" si="13"/>
        <v>0</v>
      </c>
      <c r="AI54" s="86">
        <f t="shared" si="13"/>
        <v>20</v>
      </c>
      <c r="AL54" s="60" t="s">
        <v>1979</v>
      </c>
      <c r="AM54" s="86">
        <f t="shared" ref="AM54:AR54" si="14">SUM(AM42:AM44)</f>
        <v>0</v>
      </c>
      <c r="AN54" s="86">
        <f t="shared" si="14"/>
        <v>0</v>
      </c>
      <c r="AO54" s="86">
        <f t="shared" si="14"/>
        <v>0</v>
      </c>
      <c r="AP54" s="86">
        <f t="shared" si="14"/>
        <v>0</v>
      </c>
      <c r="AQ54" s="86">
        <f t="shared" si="14"/>
        <v>0</v>
      </c>
      <c r="AR54" s="86">
        <f t="shared" si="14"/>
        <v>10</v>
      </c>
      <c r="AS54" s="5">
        <f>SUM(AS42:AS44)</f>
        <v>0</v>
      </c>
      <c r="AT54" s="86">
        <f>SUM(AT42:AT44)</f>
        <v>10</v>
      </c>
      <c r="AZ54" s="19"/>
      <c r="BA54" s="19"/>
      <c r="BB54" s="19"/>
      <c r="BC54" s="19"/>
      <c r="BD54" s="19"/>
    </row>
    <row r="55" spans="2:56" ht="16.5" customHeight="1">
      <c r="B55" s="342" t="str">
        <f>"Chart 13a. "&amp;City_label&amp;" number of households by income category and race, 2019"</f>
        <v>Chart 13a. Kahlotus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4</v>
      </c>
      <c r="AH55" s="86">
        <f t="shared" si="15"/>
        <v>0</v>
      </c>
      <c r="AI55" s="86">
        <f t="shared" si="15"/>
        <v>4</v>
      </c>
      <c r="AL55" s="60" t="s">
        <v>1897</v>
      </c>
      <c r="AM55" s="86">
        <f t="shared" ref="AM55:AR55" si="16">SUM(AM45:AM47)</f>
        <v>0</v>
      </c>
      <c r="AN55" s="86">
        <f t="shared" si="16"/>
        <v>0</v>
      </c>
      <c r="AO55" s="86">
        <f t="shared" si="16"/>
        <v>0</v>
      </c>
      <c r="AP55" s="86">
        <f t="shared" si="16"/>
        <v>0</v>
      </c>
      <c r="AQ55" s="86">
        <f t="shared" si="16"/>
        <v>0</v>
      </c>
      <c r="AR55" s="86">
        <f t="shared" si="16"/>
        <v>10</v>
      </c>
      <c r="AS55" s="5">
        <f>SUM(AS45:AS47)</f>
        <v>0</v>
      </c>
      <c r="AT55" s="86">
        <f>SUM(AT45:AT47)</f>
        <v>10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12</v>
      </c>
      <c r="AC56" s="128">
        <f t="shared" ref="AC56:AI56" si="17">SUM(AC51:AC55)</f>
        <v>0</v>
      </c>
      <c r="AD56" s="128">
        <f t="shared" si="17"/>
        <v>0</v>
      </c>
      <c r="AE56" s="128">
        <f t="shared" si="17"/>
        <v>0</v>
      </c>
      <c r="AF56" s="128">
        <f t="shared" si="17"/>
        <v>0</v>
      </c>
      <c r="AG56" s="128">
        <f t="shared" si="17"/>
        <v>50</v>
      </c>
      <c r="AH56" s="128">
        <f t="shared" si="17"/>
        <v>0</v>
      </c>
      <c r="AI56" s="128">
        <f t="shared" si="17"/>
        <v>50</v>
      </c>
      <c r="AJ56" s="86"/>
      <c r="AL56" s="163" t="s">
        <v>2841</v>
      </c>
      <c r="AM56" s="128">
        <f t="shared" ref="AM56:AT56" si="18">SUM(AM51:AM55)</f>
        <v>0</v>
      </c>
      <c r="AN56" s="128">
        <f t="shared" si="18"/>
        <v>0</v>
      </c>
      <c r="AO56" s="128">
        <f t="shared" si="18"/>
        <v>0</v>
      </c>
      <c r="AP56" s="128">
        <f t="shared" si="18"/>
        <v>0</v>
      </c>
      <c r="AQ56" s="128">
        <f t="shared" si="18"/>
        <v>0</v>
      </c>
      <c r="AR56" s="128">
        <f t="shared" si="18"/>
        <v>34</v>
      </c>
      <c r="AS56" s="246">
        <f>SUM(AS51:AS55)</f>
        <v>4</v>
      </c>
      <c r="AT56" s="128">
        <f t="shared" si="18"/>
        <v>38</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v>
      </c>
      <c r="AC76" s="174">
        <v>0</v>
      </c>
      <c r="AD76" s="174">
        <v>0</v>
      </c>
      <c r="AE76" s="174">
        <v>0</v>
      </c>
      <c r="AF76" s="174">
        <v>0</v>
      </c>
      <c r="AG76" s="174">
        <v>4</v>
      </c>
      <c r="AH76" s="174"/>
      <c r="AI76" s="174">
        <v>4</v>
      </c>
      <c r="AJ76" s="86">
        <f t="shared" ref="AJ76:AJ85" si="19">(SUM(AB76:AG76))-AI76</f>
        <v>4</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Kahlotus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4</v>
      </c>
      <c r="AC79" s="174">
        <v>0</v>
      </c>
      <c r="AD79" s="174">
        <v>0</v>
      </c>
      <c r="AE79" s="174">
        <v>0</v>
      </c>
      <c r="AF79" s="174">
        <v>0</v>
      </c>
      <c r="AG79" s="174">
        <v>0</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20</v>
      </c>
      <c r="AJ87" s="86">
        <f>SUM(AJ76:AJ85)</f>
        <v>4</v>
      </c>
      <c r="AM87" s="174">
        <v>0</v>
      </c>
      <c r="AN87" s="174">
        <v>0</v>
      </c>
      <c r="AO87" s="174">
        <v>0</v>
      </c>
      <c r="AP87" s="174">
        <v>0</v>
      </c>
      <c r="AQ87" s="174">
        <v>0</v>
      </c>
      <c r="AR87" s="174">
        <v>10</v>
      </c>
      <c r="AS87" s="174">
        <v>0</v>
      </c>
      <c r="AT87" s="174">
        <v>10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0</v>
      </c>
      <c r="AD89" s="86">
        <f t="shared" si="21"/>
        <v>0</v>
      </c>
      <c r="AE89" s="86">
        <f t="shared" si="21"/>
        <v>0</v>
      </c>
      <c r="AF89" s="86">
        <f t="shared" si="21"/>
        <v>0</v>
      </c>
      <c r="AG89" s="86">
        <f t="shared" si="21"/>
        <v>4</v>
      </c>
      <c r="AH89" s="86"/>
      <c r="AI89" s="86">
        <f>SUM(AI76:AI77)</f>
        <v>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4</v>
      </c>
      <c r="AC90" s="86">
        <f t="shared" si="22"/>
        <v>0</v>
      </c>
      <c r="AD90" s="86">
        <f t="shared" si="22"/>
        <v>0</v>
      </c>
      <c r="AE90" s="86">
        <f t="shared" si="22"/>
        <v>0</v>
      </c>
      <c r="AF90" s="86">
        <f t="shared" si="22"/>
        <v>0</v>
      </c>
      <c r="AG90" s="86">
        <f t="shared" si="22"/>
        <v>0</v>
      </c>
      <c r="AH90" s="86"/>
      <c r="AI90" s="86">
        <f>SUM(AI78:AI79)</f>
        <v>4</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0</v>
      </c>
      <c r="AH91" s="86"/>
      <c r="AI91" s="86">
        <f>SUM(AI80:AI81)</f>
        <v>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10</v>
      </c>
      <c r="AM93" s="174">
        <v>0</v>
      </c>
      <c r="AN93" s="174">
        <v>4</v>
      </c>
      <c r="AO93" s="174">
        <v>0</v>
      </c>
      <c r="AP93" s="174">
        <v>0</v>
      </c>
      <c r="AQ93" s="174">
        <v>0</v>
      </c>
      <c r="AR93" s="174">
        <v>0</v>
      </c>
      <c r="AS93" s="174">
        <v>0</v>
      </c>
      <c r="AT93" s="174">
        <v>4</v>
      </c>
      <c r="AU93" s="86">
        <f t="shared" si="20"/>
        <v>0</v>
      </c>
      <c r="AV93" s="86"/>
      <c r="AZ93" s="19"/>
      <c r="BA93" s="19"/>
      <c r="BB93" s="19"/>
      <c r="BC93" s="19"/>
      <c r="BD93" s="19"/>
    </row>
    <row r="94" spans="21:56" ht="18" customHeight="1">
      <c r="AA94" s="163" t="s">
        <v>2841</v>
      </c>
      <c r="AB94" s="128">
        <f t="shared" ref="AB94:AG94" si="26">SUM(AB89:AB93)</f>
        <v>8</v>
      </c>
      <c r="AC94" s="128">
        <f t="shared" si="26"/>
        <v>0</v>
      </c>
      <c r="AD94" s="128">
        <f t="shared" si="26"/>
        <v>0</v>
      </c>
      <c r="AE94" s="128">
        <f t="shared" si="26"/>
        <v>0</v>
      </c>
      <c r="AF94" s="128">
        <f t="shared" si="26"/>
        <v>0</v>
      </c>
      <c r="AG94" s="128">
        <f t="shared" si="26"/>
        <v>14</v>
      </c>
      <c r="AH94" s="128"/>
      <c r="AI94" s="128">
        <f>SUM(AI89:AI93)</f>
        <v>18</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4</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42" t="str">
        <f>"Chart 14a. "&amp;City_label&amp;" distribution of households by income and race or ethnicity, 2019"</f>
        <v>Chart 14a. Kahlotus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10</v>
      </c>
      <c r="AS100" s="86">
        <f t="shared" si="29"/>
        <v>0</v>
      </c>
      <c r="AT100" s="86">
        <f>SUM(AT86:AT88)</f>
        <v>10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4</v>
      </c>
      <c r="AF101" s="147">
        <f>SUM(AE51,AE89)</f>
        <v>0</v>
      </c>
      <c r="AG101" s="147">
        <f>SUM(AG51,AG89)</f>
        <v>8</v>
      </c>
      <c r="AH101" s="244">
        <f t="shared" ref="AH101:AH105" si="31">AI101-SUM(AB101:AG101)</f>
        <v>-4</v>
      </c>
      <c r="AI101" s="147">
        <f t="shared" ref="AI101:AI106" si="32">SUM(AI51,AI89)</f>
        <v>8</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8</v>
      </c>
      <c r="AF102" s="147">
        <f t="shared" ref="AF102:AF105" si="38">SUM(AE52,AE90)</f>
        <v>0</v>
      </c>
      <c r="AG102" s="147">
        <f t="shared" ref="AG102:AG105" si="39">SUM(AG52,AG90)</f>
        <v>8</v>
      </c>
      <c r="AH102" s="244">
        <f t="shared" si="31"/>
        <v>-4</v>
      </c>
      <c r="AI102" s="147">
        <f t="shared" si="32"/>
        <v>12</v>
      </c>
      <c r="AJ102" s="86"/>
      <c r="AL102" s="60" t="s">
        <v>1897</v>
      </c>
      <c r="AM102" s="86">
        <f t="shared" ref="AM102:AR102" si="40">SUM(AM92:AM94)</f>
        <v>0</v>
      </c>
      <c r="AN102" s="86">
        <f t="shared" si="40"/>
        <v>4</v>
      </c>
      <c r="AO102" s="86">
        <f t="shared" si="40"/>
        <v>0</v>
      </c>
      <c r="AP102" s="86">
        <f t="shared" si="40"/>
        <v>0</v>
      </c>
      <c r="AQ102" s="86">
        <f t="shared" si="40"/>
        <v>0</v>
      </c>
      <c r="AR102" s="86">
        <f t="shared" si="40"/>
        <v>0</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14</v>
      </c>
      <c r="AH103" s="244">
        <f t="shared" si="31"/>
        <v>0</v>
      </c>
      <c r="AI103" s="147">
        <f t="shared" si="32"/>
        <v>14</v>
      </c>
      <c r="AJ103" s="86"/>
      <c r="AL103" s="163" t="s">
        <v>2841</v>
      </c>
      <c r="AM103" s="128">
        <f t="shared" ref="AM103:AT103" si="41">SUM(AM98:AM102)</f>
        <v>0</v>
      </c>
      <c r="AN103" s="128">
        <f t="shared" si="41"/>
        <v>4</v>
      </c>
      <c r="AO103" s="128">
        <f t="shared" si="41"/>
        <v>0</v>
      </c>
      <c r="AP103" s="128">
        <f t="shared" si="41"/>
        <v>0</v>
      </c>
      <c r="AQ103" s="128">
        <f t="shared" si="41"/>
        <v>0</v>
      </c>
      <c r="AR103" s="128">
        <f t="shared" si="41"/>
        <v>18</v>
      </c>
      <c r="AS103" s="128">
        <f t="shared" si="41"/>
        <v>0</v>
      </c>
      <c r="AT103" s="128">
        <f t="shared" si="41"/>
        <v>22</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4</v>
      </c>
      <c r="AF104" s="147">
        <f t="shared" si="38"/>
        <v>0</v>
      </c>
      <c r="AG104" s="147">
        <f t="shared" si="39"/>
        <v>20</v>
      </c>
      <c r="AH104" s="244">
        <f t="shared" si="31"/>
        <v>-4</v>
      </c>
      <c r="AI104" s="147">
        <f t="shared" si="32"/>
        <v>20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14</v>
      </c>
      <c r="AH105" s="244">
        <f t="shared" si="31"/>
        <v>-4</v>
      </c>
      <c r="AI105" s="147">
        <f t="shared" si="32"/>
        <v>14</v>
      </c>
      <c r="AJ105" s="86"/>
      <c r="AZ105" s="19"/>
      <c r="BA105" s="19"/>
      <c r="BB105" s="19"/>
      <c r="BC105" s="19"/>
    </row>
    <row r="106" spans="2:56" ht="18" customHeight="1">
      <c r="Z106" s="90"/>
      <c r="AA106" s="127" t="s">
        <v>3</v>
      </c>
      <c r="AB106" s="177">
        <f>SUM(AF56,AF94)</f>
        <v>0</v>
      </c>
      <c r="AC106" s="177">
        <f>SUM(AD56,AD94)</f>
        <v>0</v>
      </c>
      <c r="AD106" s="177">
        <f>SUM(AC56,AC94)</f>
        <v>0</v>
      </c>
      <c r="AE106" s="177">
        <f>SUM(AB56,AB94)</f>
        <v>20</v>
      </c>
      <c r="AF106" s="177">
        <f>SUM(AE56,AE94)</f>
        <v>0</v>
      </c>
      <c r="AG106" s="177">
        <f>SUM(AG56,AG94)</f>
        <v>64</v>
      </c>
      <c r="AH106" s="114">
        <f>SUM(AH101:AH105)</f>
        <v>-16</v>
      </c>
      <c r="AI106" s="177">
        <f t="shared" si="32"/>
        <v>68</v>
      </c>
      <c r="AJ106" s="86"/>
      <c r="AL106" s="7"/>
      <c r="AM106" s="7"/>
      <c r="AN106" s="7"/>
      <c r="AO106" s="7"/>
      <c r="AP106" s="7"/>
      <c r="AQ106" s="7"/>
      <c r="AR106" s="7"/>
      <c r="AS106" s="7"/>
      <c r="AT106" s="7"/>
      <c r="AU106" s="7"/>
      <c r="AV106" s="7"/>
    </row>
    <row r="107" spans="2:56" ht="18" customHeight="1">
      <c r="Z107" s="90"/>
      <c r="AA107" s="175" t="s">
        <v>2789</v>
      </c>
      <c r="AI107" s="174">
        <v>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8</v>
      </c>
      <c r="AS109" s="245">
        <f t="shared" si="45"/>
        <v>0</v>
      </c>
      <c r="AT109" s="147">
        <f t="shared" si="45"/>
        <v>8</v>
      </c>
    </row>
    <row r="110" spans="2:56" ht="18" customHeight="1">
      <c r="AA110" s="60" t="s">
        <v>2762</v>
      </c>
      <c r="AB110" s="135">
        <f>IFERROR(AC101/AC$106,"0"%)</f>
        <v>0</v>
      </c>
      <c r="AC110" s="135">
        <f>IFERROR(AD101/AD$106,"0"%)</f>
        <v>0</v>
      </c>
      <c r="AD110" s="135">
        <f>IFERROR(AE101/AE$106, "0"%)</f>
        <v>0.2</v>
      </c>
      <c r="AE110" s="135">
        <f>IFERROR(AF101/AF$106, "0"%)</f>
        <v>0</v>
      </c>
      <c r="AF110" s="135">
        <f>IFERROR(AG101/AG$106, "0"%)</f>
        <v>0.125</v>
      </c>
      <c r="AG110" s="135">
        <f>IFERROR(AI101/AI$106,"0"%)</f>
        <v>0.11764705882352941</v>
      </c>
      <c r="AH110" s="135"/>
      <c r="AL110" s="60" t="s">
        <v>1977</v>
      </c>
      <c r="AM110" s="147">
        <f t="shared" si="42"/>
        <v>0</v>
      </c>
      <c r="AN110" s="147">
        <f t="shared" si="43"/>
        <v>0</v>
      </c>
      <c r="AO110" s="147">
        <f t="shared" si="44"/>
        <v>0</v>
      </c>
      <c r="AP110" s="147">
        <f t="shared" si="45"/>
        <v>0</v>
      </c>
      <c r="AQ110" s="147">
        <f t="shared" si="45"/>
        <v>0</v>
      </c>
      <c r="AR110" s="147">
        <f t="shared" si="45"/>
        <v>4</v>
      </c>
      <c r="AS110" s="245">
        <f t="shared" si="45"/>
        <v>4</v>
      </c>
      <c r="AT110" s="147">
        <f t="shared" si="45"/>
        <v>8</v>
      </c>
    </row>
    <row r="111" spans="2:56" ht="18" customHeight="1">
      <c r="AA111" s="60" t="s">
        <v>1977</v>
      </c>
      <c r="AB111" s="135">
        <f t="shared" ref="AB111:AC114" si="46">IFERROR(AC102/AC$106,"0"%)</f>
        <v>0</v>
      </c>
      <c r="AC111" s="135">
        <f t="shared" si="46"/>
        <v>0</v>
      </c>
      <c r="AD111" s="135">
        <f t="shared" ref="AD111:AF114" si="47">IFERROR(AE102/AE$106, "0"%)</f>
        <v>0.4</v>
      </c>
      <c r="AE111" s="135">
        <f t="shared" si="47"/>
        <v>0</v>
      </c>
      <c r="AF111" s="135">
        <f t="shared" si="47"/>
        <v>0.125</v>
      </c>
      <c r="AG111" s="135">
        <f t="shared" ref="AG111:AG114" si="48">IFERROR(AI102/AI$106,"0"%)</f>
        <v>0.17647058823529413</v>
      </c>
      <c r="AH111" s="135"/>
      <c r="AL111" s="60" t="s">
        <v>1978</v>
      </c>
      <c r="AM111" s="147">
        <f t="shared" si="42"/>
        <v>0</v>
      </c>
      <c r="AN111" s="147">
        <f t="shared" si="43"/>
        <v>0</v>
      </c>
      <c r="AO111" s="147">
        <f t="shared" si="44"/>
        <v>0</v>
      </c>
      <c r="AP111" s="147">
        <f t="shared" si="45"/>
        <v>0</v>
      </c>
      <c r="AQ111" s="147">
        <f t="shared" si="45"/>
        <v>0</v>
      </c>
      <c r="AR111" s="147">
        <f t="shared" si="45"/>
        <v>20</v>
      </c>
      <c r="AS111" s="245">
        <f t="shared" si="45"/>
        <v>0</v>
      </c>
      <c r="AT111" s="147">
        <f t="shared" si="45"/>
        <v>20</v>
      </c>
    </row>
    <row r="112" spans="2:56" ht="18" customHeight="1">
      <c r="AA112" s="60" t="s">
        <v>1978</v>
      </c>
      <c r="AB112" s="135">
        <f t="shared" si="46"/>
        <v>0</v>
      </c>
      <c r="AC112" s="135">
        <f t="shared" si="46"/>
        <v>0</v>
      </c>
      <c r="AD112" s="135">
        <f t="shared" si="47"/>
        <v>0</v>
      </c>
      <c r="AE112" s="135">
        <f t="shared" si="47"/>
        <v>0</v>
      </c>
      <c r="AF112" s="135">
        <f t="shared" si="47"/>
        <v>0.21875</v>
      </c>
      <c r="AG112" s="135">
        <f t="shared" si="48"/>
        <v>0.20588235294117646</v>
      </c>
      <c r="AH112" s="135"/>
      <c r="AL112" s="60" t="s">
        <v>1979</v>
      </c>
      <c r="AM112" s="147">
        <f t="shared" si="42"/>
        <v>0</v>
      </c>
      <c r="AN112" s="147">
        <f t="shared" si="43"/>
        <v>0</v>
      </c>
      <c r="AO112" s="147">
        <f t="shared" si="44"/>
        <v>0</v>
      </c>
      <c r="AP112" s="147">
        <f t="shared" si="45"/>
        <v>0</v>
      </c>
      <c r="AQ112" s="147">
        <f t="shared" si="45"/>
        <v>0</v>
      </c>
      <c r="AR112" s="147">
        <f t="shared" si="45"/>
        <v>10</v>
      </c>
      <c r="AS112" s="245">
        <f t="shared" si="45"/>
        <v>0</v>
      </c>
      <c r="AT112" s="147">
        <f t="shared" si="45"/>
        <v>10</v>
      </c>
    </row>
    <row r="113" spans="2:48" ht="18" customHeight="1">
      <c r="AA113" s="60" t="s">
        <v>1979</v>
      </c>
      <c r="AB113" s="135">
        <f t="shared" si="46"/>
        <v>0</v>
      </c>
      <c r="AC113" s="135">
        <f t="shared" si="46"/>
        <v>0</v>
      </c>
      <c r="AD113" s="135">
        <f t="shared" si="47"/>
        <v>0.2</v>
      </c>
      <c r="AE113" s="135">
        <f t="shared" si="47"/>
        <v>0</v>
      </c>
      <c r="AF113" s="135">
        <f t="shared" si="47"/>
        <v>0.3125</v>
      </c>
      <c r="AG113" s="135">
        <f t="shared" si="48"/>
        <v>0.29411764705882354</v>
      </c>
      <c r="AH113" s="135"/>
      <c r="AL113" s="60" t="s">
        <v>1897</v>
      </c>
      <c r="AM113" s="147">
        <f t="shared" si="42"/>
        <v>0</v>
      </c>
      <c r="AN113" s="147">
        <f t="shared" si="43"/>
        <v>4</v>
      </c>
      <c r="AO113" s="147">
        <f t="shared" si="44"/>
        <v>0</v>
      </c>
      <c r="AP113" s="147">
        <f t="shared" si="45"/>
        <v>0</v>
      </c>
      <c r="AQ113" s="147">
        <f t="shared" si="45"/>
        <v>0</v>
      </c>
      <c r="AR113" s="147">
        <f t="shared" si="45"/>
        <v>10</v>
      </c>
      <c r="AS113" s="245">
        <f t="shared" si="45"/>
        <v>0</v>
      </c>
      <c r="AT113" s="147">
        <f t="shared" si="45"/>
        <v>14</v>
      </c>
    </row>
    <row r="114" spans="2:48" ht="18" customHeight="1">
      <c r="AA114" s="60" t="s">
        <v>1897</v>
      </c>
      <c r="AB114" s="135">
        <f t="shared" si="46"/>
        <v>0</v>
      </c>
      <c r="AC114" s="135">
        <f t="shared" si="46"/>
        <v>0</v>
      </c>
      <c r="AD114" s="135">
        <f t="shared" si="47"/>
        <v>0.2</v>
      </c>
      <c r="AE114" s="135">
        <f t="shared" si="47"/>
        <v>0</v>
      </c>
      <c r="AF114" s="135">
        <f t="shared" si="47"/>
        <v>0.21875</v>
      </c>
      <c r="AG114" s="135">
        <f t="shared" si="48"/>
        <v>0.20588235294117646</v>
      </c>
      <c r="AH114" s="135"/>
      <c r="AL114" s="127" t="s">
        <v>3</v>
      </c>
      <c r="AM114" s="177">
        <f t="shared" si="42"/>
        <v>0</v>
      </c>
      <c r="AN114" s="177">
        <f t="shared" si="43"/>
        <v>4</v>
      </c>
      <c r="AO114" s="177">
        <f t="shared" si="44"/>
        <v>0</v>
      </c>
      <c r="AP114" s="177">
        <f t="shared" si="45"/>
        <v>0</v>
      </c>
      <c r="AQ114" s="177">
        <f t="shared" si="45"/>
        <v>0</v>
      </c>
      <c r="AR114" s="177">
        <f t="shared" si="45"/>
        <v>52</v>
      </c>
      <c r="AS114" s="245">
        <f t="shared" si="45"/>
        <v>4</v>
      </c>
      <c r="AT114" s="177">
        <f t="shared" si="45"/>
        <v>60</v>
      </c>
    </row>
    <row r="115" spans="2:48" ht="13.9" customHeight="1">
      <c r="B115" s="336" t="s">
        <v>2764</v>
      </c>
      <c r="C115" s="336"/>
      <c r="D115" s="336"/>
      <c r="E115" s="336"/>
      <c r="F115" s="336"/>
      <c r="G115" s="336"/>
      <c r="H115" s="336"/>
      <c r="I115" s="336"/>
      <c r="AI115" s="88"/>
      <c r="AL115" s="169" t="s">
        <v>2766</v>
      </c>
      <c r="AS115" s="7"/>
      <c r="AT115" s="1">
        <v>60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f t="shared" si="49"/>
        <v>0</v>
      </c>
      <c r="AO118" s="135" t="e">
        <f t="shared" si="49"/>
        <v>#DIV/0!</v>
      </c>
      <c r="AP118" s="135">
        <f>SUM(AP109:AQ109:AS109)/SUM(AP$114:AQ$114:AS$114)</f>
        <v>0.14285714285714285</v>
      </c>
      <c r="AQ118" s="135">
        <f>AR109/AR$114</f>
        <v>0.15384615384615385</v>
      </c>
      <c r="AR118" s="135">
        <f>AT109/AT$114</f>
        <v>0.13333333333333333</v>
      </c>
    </row>
    <row r="119" spans="2:48" ht="21" customHeight="1">
      <c r="B119" s="359" t="str">
        <f>"Table 7. "&amp;City_label&amp;" five year change in households by income and race, 2014 - 2019"</f>
        <v>Table 7. Kahlotus five year change in households by income and race, 2014 - 2019</v>
      </c>
      <c r="C119" s="359"/>
      <c r="D119" s="359"/>
      <c r="E119" s="359"/>
      <c r="F119" s="359"/>
      <c r="G119" s="359"/>
      <c r="H119" s="359"/>
      <c r="AI119" s="88"/>
      <c r="AL119" s="60" t="s">
        <v>1977</v>
      </c>
      <c r="AM119" s="135" t="e">
        <f t="shared" si="49"/>
        <v>#DIV/0!</v>
      </c>
      <c r="AN119" s="135">
        <f t="shared" si="49"/>
        <v>0</v>
      </c>
      <c r="AO119" s="135" t="e">
        <f t="shared" si="49"/>
        <v>#DIV/0!</v>
      </c>
      <c r="AP119" s="135">
        <f>SUM(AP110:AQ110:AS110)/SUM(AP$114:AQ$114:AS$114)</f>
        <v>0.14285714285714285</v>
      </c>
      <c r="AQ119" s="135">
        <f>AR110/AR$114</f>
        <v>7.6923076923076927E-2</v>
      </c>
      <c r="AR119" s="135">
        <f>AT110/AT$114</f>
        <v>0.13333333333333333</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f t="shared" si="49"/>
        <v>0</v>
      </c>
      <c r="AO120" s="135" t="e">
        <f t="shared" si="49"/>
        <v>#DIV/0!</v>
      </c>
      <c r="AP120" s="135">
        <f>SUM(AP111:AQ111:AS111)/SUM(AP$114:AQ$114:AS$114)</f>
        <v>0.35714285714285715</v>
      </c>
      <c r="AQ120" s="135">
        <f>AR111/AR$114</f>
        <v>0.38461538461538464</v>
      </c>
      <c r="AR120" s="135">
        <f>AT111/AT$114</f>
        <v>0.33333333333333331</v>
      </c>
    </row>
    <row r="121" spans="2:48" ht="13.9" customHeight="1" thickBot="1">
      <c r="AA121" s="60" t="s">
        <v>1983</v>
      </c>
      <c r="AB121" s="86">
        <f>AE101</f>
        <v>4</v>
      </c>
      <c r="AC121" s="86">
        <f>SUM(AB101:AD101,AF101,AH101)</f>
        <v>-4</v>
      </c>
      <c r="AD121" s="86">
        <f>AG101</f>
        <v>8</v>
      </c>
      <c r="AF121" s="135">
        <f>AB121/$AB$126</f>
        <v>0.2</v>
      </c>
      <c r="AG121" s="135">
        <f>AC121/$AC$126</f>
        <v>0.25</v>
      </c>
      <c r="AH121" s="135">
        <f>AD121/$AD$126</f>
        <v>0.125</v>
      </c>
      <c r="AL121" s="60" t="s">
        <v>1979</v>
      </c>
      <c r="AM121" s="135" t="e">
        <f t="shared" si="49"/>
        <v>#DIV/0!</v>
      </c>
      <c r="AN121" s="135">
        <f t="shared" si="49"/>
        <v>0</v>
      </c>
      <c r="AO121" s="135" t="e">
        <f t="shared" si="49"/>
        <v>#DIV/0!</v>
      </c>
      <c r="AP121" s="135">
        <f>SUM(AP112:AQ112:AS112)/SUM(AP$114:AQ$114:AS$114)</f>
        <v>0.17857142857142858</v>
      </c>
      <c r="AQ121" s="135">
        <f>AR112/AR$114</f>
        <v>0.19230769230769232</v>
      </c>
      <c r="AR121" s="135">
        <f>AT112/AT$114</f>
        <v>0.16666666666666666</v>
      </c>
      <c r="AV121" s="7"/>
    </row>
    <row r="122" spans="2:48" ht="19.5" customHeight="1">
      <c r="B122" s="356"/>
      <c r="C122" s="349" t="s">
        <v>2768</v>
      </c>
      <c r="D122" s="349" t="s">
        <v>2776</v>
      </c>
      <c r="E122" s="349" t="s">
        <v>2777</v>
      </c>
      <c r="F122" s="349" t="s">
        <v>2778</v>
      </c>
      <c r="G122" s="349" t="s">
        <v>2775</v>
      </c>
      <c r="H122" s="349" t="s">
        <v>2</v>
      </c>
      <c r="AA122" s="60" t="s">
        <v>1977</v>
      </c>
      <c r="AB122" s="86">
        <f>AE102</f>
        <v>8</v>
      </c>
      <c r="AC122" s="86">
        <f t="shared" ref="AC122:AC125" si="50">SUM(AB102:AD102,AF102,AH102)</f>
        <v>-4</v>
      </c>
      <c r="AD122" s="86">
        <f>AG102</f>
        <v>8</v>
      </c>
      <c r="AF122" s="135">
        <f>AB122/$AB$126</f>
        <v>0.4</v>
      </c>
      <c r="AG122" s="135">
        <f>AC122/$AC$126</f>
        <v>0.25</v>
      </c>
      <c r="AH122" s="135">
        <f>AD122/$AD$126</f>
        <v>0.125</v>
      </c>
      <c r="AL122" s="60" t="s">
        <v>1897</v>
      </c>
      <c r="AM122" s="284" t="e">
        <f t="shared" si="49"/>
        <v>#DIV/0!</v>
      </c>
      <c r="AN122" s="284">
        <f t="shared" si="49"/>
        <v>1</v>
      </c>
      <c r="AO122" s="284" t="e">
        <f t="shared" si="49"/>
        <v>#DIV/0!</v>
      </c>
      <c r="AP122" s="284">
        <f>SUM(AP113:AQ113:AS113)/SUM(AP$114:AQ$114:AS$114)</f>
        <v>0.17857142857142858</v>
      </c>
      <c r="AQ122" s="284">
        <f>AR113/AR$114</f>
        <v>0.19230769230769232</v>
      </c>
      <c r="AR122" s="284">
        <f>AT113/AT$114</f>
        <v>0.23333333333333334</v>
      </c>
      <c r="AV122" s="7"/>
    </row>
    <row r="123" spans="2:48" ht="19.5" customHeight="1">
      <c r="B123" s="357"/>
      <c r="C123" s="350"/>
      <c r="D123" s="350"/>
      <c r="E123" s="350"/>
      <c r="F123" s="350"/>
      <c r="G123" s="350"/>
      <c r="H123" s="350"/>
      <c r="AA123" s="60" t="s">
        <v>1978</v>
      </c>
      <c r="AB123" s="86">
        <f>AE103</f>
        <v>0</v>
      </c>
      <c r="AC123" s="86">
        <f t="shared" si="50"/>
        <v>0</v>
      </c>
      <c r="AD123" s="86">
        <f>AG103</f>
        <v>14</v>
      </c>
      <c r="AF123" s="135">
        <f>AB123/$AB$126</f>
        <v>0</v>
      </c>
      <c r="AG123" s="135">
        <f>AC123/$AC$126</f>
        <v>0</v>
      </c>
      <c r="AH123" s="135">
        <f>AD123/$AD$126</f>
        <v>0.21875</v>
      </c>
      <c r="AL123" s="127" t="s">
        <v>1</v>
      </c>
      <c r="AM123" s="283" t="e">
        <f>SUM(AM118:AM122)</f>
        <v>#DIV/0!</v>
      </c>
      <c r="AN123" s="283">
        <f t="shared" ref="AN123:AR123" si="51">SUM(AN118:AN122)</f>
        <v>1</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4</v>
      </c>
      <c r="AC124" s="86">
        <f t="shared" si="50"/>
        <v>-4</v>
      </c>
      <c r="AD124" s="86">
        <f>AG104</f>
        <v>20</v>
      </c>
      <c r="AF124" s="135">
        <f>AB124/$AB$126</f>
        <v>0.2</v>
      </c>
      <c r="AG124" s="135">
        <f>AC124/$AC$126</f>
        <v>0.25</v>
      </c>
      <c r="AH124" s="135">
        <f>AD124/$AD$126</f>
        <v>0.3125</v>
      </c>
      <c r="AS124" s="88"/>
      <c r="AV124" s="7"/>
    </row>
    <row r="125" spans="2:48" ht="21" customHeight="1">
      <c r="B125" s="233" t="s">
        <v>3</v>
      </c>
      <c r="C125" s="234"/>
      <c r="D125" s="235"/>
      <c r="E125" s="235"/>
      <c r="F125" s="235"/>
      <c r="G125" s="235"/>
      <c r="H125" s="235"/>
      <c r="AA125" s="60" t="s">
        <v>1897</v>
      </c>
      <c r="AB125" s="287">
        <f>AE105</f>
        <v>4</v>
      </c>
      <c r="AC125" s="287">
        <f t="shared" si="50"/>
        <v>-4</v>
      </c>
      <c r="AD125" s="287">
        <f>AG105</f>
        <v>14</v>
      </c>
      <c r="AE125" s="288"/>
      <c r="AF125" s="284">
        <f>AB125/$AB$126</f>
        <v>0.2</v>
      </c>
      <c r="AG125" s="284">
        <f>AC125/$AC$126</f>
        <v>0.25</v>
      </c>
      <c r="AH125" s="284">
        <f>AD125/$AD$126</f>
        <v>0.21875</v>
      </c>
      <c r="AS125" s="88"/>
      <c r="AV125" s="7"/>
    </row>
    <row r="126" spans="2:48" ht="21" customHeight="1">
      <c r="B126" s="43">
        <v>2015</v>
      </c>
      <c r="C126" s="236">
        <f>AT109</f>
        <v>8</v>
      </c>
      <c r="D126" s="237">
        <f>AT110</f>
        <v>8</v>
      </c>
      <c r="E126" s="237">
        <f>AT111</f>
        <v>20</v>
      </c>
      <c r="F126" s="237">
        <f>AT112</f>
        <v>10</v>
      </c>
      <c r="G126" s="237">
        <f>AT113</f>
        <v>14</v>
      </c>
      <c r="H126" s="237">
        <f>AT114</f>
        <v>60</v>
      </c>
      <c r="AA126" s="85" t="s">
        <v>1</v>
      </c>
      <c r="AB126" s="128">
        <f>SUM(AB121:AB125)</f>
        <v>20</v>
      </c>
      <c r="AC126" s="128">
        <f>SUM(AC121:AC125)</f>
        <v>-16</v>
      </c>
      <c r="AD126" s="128">
        <f>SUM(AD121:AD125)</f>
        <v>64</v>
      </c>
      <c r="AF126" s="283">
        <f>SUM(AF121:AF125)</f>
        <v>1</v>
      </c>
      <c r="AG126" s="283">
        <f t="shared" ref="AG126:AH126" si="52">SUM(AG121:AG125)</f>
        <v>1</v>
      </c>
      <c r="AH126" s="283">
        <f t="shared" si="52"/>
        <v>1</v>
      </c>
      <c r="AI126" s="88"/>
      <c r="AL126" s="171"/>
      <c r="AS126" s="88"/>
      <c r="AV126" s="7"/>
    </row>
    <row r="127" spans="2:48" ht="21" customHeight="1">
      <c r="B127" s="43">
        <v>2020</v>
      </c>
      <c r="C127" s="236">
        <f>AI101</f>
        <v>8</v>
      </c>
      <c r="D127" s="237">
        <f>AI102</f>
        <v>12</v>
      </c>
      <c r="E127" s="237">
        <f>AI103</f>
        <v>14</v>
      </c>
      <c r="F127" s="237">
        <f>AI104</f>
        <v>20</v>
      </c>
      <c r="G127" s="237">
        <f>AI105</f>
        <v>14</v>
      </c>
      <c r="H127" s="237">
        <f>AI106</f>
        <v>68</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4</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4</v>
      </c>
      <c r="D136" s="239">
        <f>AE102</f>
        <v>8</v>
      </c>
      <c r="E136" s="239">
        <f>AE103</f>
        <v>0</v>
      </c>
      <c r="F136" s="239">
        <f>AE104</f>
        <v>4</v>
      </c>
      <c r="G136" s="239">
        <f>AE105</f>
        <v>4</v>
      </c>
      <c r="H136" s="239">
        <f>AE106</f>
        <v>20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4</v>
      </c>
      <c r="E138" s="237">
        <f>AP111+AQ111+AS111</f>
        <v>0</v>
      </c>
      <c r="F138" s="237">
        <f>AP112+AQ112+AS112</f>
        <v>0</v>
      </c>
      <c r="G138" s="237">
        <f>AP113+AQ113+AS113</f>
        <v>0</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-4</v>
      </c>
      <c r="D139" s="237">
        <f>SUM(AB102,AF102,AH102)</f>
        <v>-4</v>
      </c>
      <c r="E139" s="237">
        <f>SUM(AB103,AF103,AH103)</f>
        <v>0</v>
      </c>
      <c r="F139" s="237">
        <f>SUM(AB104,AF104,AH104)</f>
        <v>-4</v>
      </c>
      <c r="G139" s="237">
        <f>SUM(AB105,AF105,AH105)</f>
        <v>-4</v>
      </c>
      <c r="H139" s="237">
        <f>SUM(AB106,AF106,AH106)</f>
        <v>-16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v>
      </c>
      <c r="D141" s="237">
        <f>AR110</f>
        <v>4</v>
      </c>
      <c r="E141" s="237">
        <f>AR111</f>
        <v>20</v>
      </c>
      <c r="F141" s="237">
        <f>AR112</f>
        <v>10</v>
      </c>
      <c r="G141" s="237">
        <f>AR113</f>
        <v>10</v>
      </c>
      <c r="H141" s="237">
        <f>AR114</f>
        <v>52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v>
      </c>
      <c r="D142" s="241">
        <f>AG102</f>
        <v>8</v>
      </c>
      <c r="E142" s="241">
        <f>AG103</f>
        <v>14</v>
      </c>
      <c r="F142" s="241">
        <f>AG104</f>
        <v>20</v>
      </c>
      <c r="G142" s="241">
        <f>AG105</f>
        <v>14</v>
      </c>
      <c r="H142" s="241">
        <f>AG106</f>
        <v>64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Kahlotus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0.13333333333333333</v>
      </c>
      <c r="D152" s="267">
        <f t="shared" ref="D152:F153" si="53">IFERROR(D126/$H126,"0"%)</f>
        <v>0.13333333333333333</v>
      </c>
      <c r="E152" s="267">
        <f t="shared" si="53"/>
        <v>0.33333333333333331</v>
      </c>
      <c r="F152" s="267">
        <f t="shared" si="53"/>
        <v>0.16666666666666666</v>
      </c>
      <c r="G152" s="267">
        <f>G126/$H126</f>
        <v>0.23333333333333334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0.11764705882352941</v>
      </c>
      <c r="D153" s="267">
        <f t="shared" si="53"/>
        <v>0.17647058823529413</v>
      </c>
      <c r="E153" s="267">
        <f t="shared" si="53"/>
        <v>0.20588235294117646</v>
      </c>
      <c r="F153" s="267">
        <f t="shared" si="53"/>
        <v>0.29411764705882354</v>
      </c>
      <c r="G153" s="267">
        <f>G127/$H127</f>
        <v>0.20588235294117646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v>
      </c>
      <c r="D162" s="267">
        <f t="shared" si="56"/>
        <v>0.4</v>
      </c>
      <c r="E162" s="267">
        <f t="shared" si="56"/>
        <v>0</v>
      </c>
      <c r="F162" s="267">
        <f t="shared" si="56"/>
        <v>0.2</v>
      </c>
      <c r="G162" s="267">
        <f t="shared" si="56"/>
        <v>0.2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1</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0.25</v>
      </c>
      <c r="D165" s="267">
        <f t="shared" si="57"/>
        <v>0.25</v>
      </c>
      <c r="E165" s="267">
        <f t="shared" si="57"/>
        <v>0</v>
      </c>
      <c r="F165" s="267">
        <f t="shared" si="57"/>
        <v>0.25</v>
      </c>
      <c r="G165" s="267">
        <f t="shared" si="57"/>
        <v>0.25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0.15384615384615385</v>
      </c>
      <c r="D167" s="267">
        <f t="shared" si="58"/>
        <v>7.6923076923076927E-2</v>
      </c>
      <c r="E167" s="267">
        <f t="shared" si="58"/>
        <v>0.38461538461538464</v>
      </c>
      <c r="F167" s="267">
        <f t="shared" si="58"/>
        <v>0.19230769230769232</v>
      </c>
      <c r="G167" s="267">
        <f t="shared" si="58"/>
        <v>0.19230769230769232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0.125</v>
      </c>
      <c r="D168" s="267">
        <f t="shared" si="58"/>
        <v>0.125</v>
      </c>
      <c r="E168" s="267">
        <f t="shared" si="58"/>
        <v>0.21875</v>
      </c>
      <c r="F168" s="267">
        <f t="shared" si="58"/>
        <v>0.3125</v>
      </c>
      <c r="G168" s="267">
        <f t="shared" si="58"/>
        <v>0.21875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Kahlotus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Kahlotus count of owner and renter households by racial group, 2019</v>
      </c>
      <c r="C5" s="301"/>
      <c r="D5" s="301"/>
      <c r="E5" s="301"/>
      <c r="F5" s="301"/>
      <c r="G5" s="301"/>
      <c r="H5" s="301"/>
      <c r="I5" s="301"/>
      <c r="J5" s="301"/>
      <c r="K5" s="301"/>
      <c r="X5" s="16" t="s">
        <v>2702</v>
      </c>
      <c r="Y5" s="304" t="str">
        <f>City</f>
        <v>Kahlotus city, Washington</v>
      </c>
      <c r="Z5" s="304"/>
    </row>
    <row r="6" spans="2:57" ht="18" customHeight="1">
      <c r="B6" s="301"/>
      <c r="C6" s="301"/>
      <c r="D6" s="301"/>
      <c r="E6" s="301"/>
      <c r="F6" s="301"/>
      <c r="G6" s="301"/>
      <c r="H6" s="301"/>
      <c r="I6" s="301"/>
      <c r="J6" s="301"/>
      <c r="K6" s="301"/>
      <c r="X6" s="16" t="s">
        <v>2703</v>
      </c>
      <c r="Y6" s="304" t="str">
        <f>County</f>
        <v>Franklin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Kahlotus</v>
      </c>
      <c r="F8" s="257"/>
      <c r="G8" s="256"/>
      <c r="H8" s="65" t="str">
        <f>City_label</f>
        <v>Kahlotus</v>
      </c>
      <c r="I8" s="257"/>
      <c r="J8" s="65" t="str">
        <f>County_label</f>
        <v>Franklin County</v>
      </c>
      <c r="K8" s="257"/>
      <c r="X8" s="62" t="str">
        <f>City</f>
        <v>Kahlotus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0.66666666666666663</v>
      </c>
      <c r="K11" s="254">
        <f>Y77/Y51</f>
        <v>0.33333333333333331</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0.77659574468085102</v>
      </c>
      <c r="K12" s="254">
        <f>Z77/Z51</f>
        <v>0.22340425531914893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0.53703703703703709</v>
      </c>
      <c r="K13" s="254">
        <f>AA77/AA51</f>
        <v>0.46296296296296297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10</v>
      </c>
      <c r="F14" s="253">
        <f>AB40</f>
        <v>4</v>
      </c>
      <c r="G14" s="29"/>
      <c r="H14" s="254">
        <f t="shared" si="1"/>
        <v>0.7142857142857143</v>
      </c>
      <c r="I14" s="254">
        <f t="shared" si="0"/>
        <v>1</v>
      </c>
      <c r="J14" s="254">
        <f>AB66/AB51</f>
        <v>0.53461875547765114</v>
      </c>
      <c r="K14" s="254">
        <f>AB77/AB51</f>
        <v>0.4653812445223488</v>
      </c>
      <c r="X14" s="33" t="s">
        <v>2852</v>
      </c>
      <c r="Y14" s="37">
        <f t="shared" ref="Y14:AE14" si="2">SUM(Y29,Y40)</f>
        <v>0</v>
      </c>
      <c r="Z14" s="37">
        <f t="shared" si="2"/>
        <v>0</v>
      </c>
      <c r="AA14" s="37">
        <f t="shared" si="2"/>
        <v>0</v>
      </c>
      <c r="AB14" s="37">
        <f t="shared" si="2"/>
        <v>14</v>
      </c>
      <c r="AC14" s="37">
        <f t="shared" si="2"/>
        <v>0</v>
      </c>
      <c r="AD14" s="37">
        <f t="shared" si="2"/>
        <v>0</v>
      </c>
      <c r="AE14" s="37">
        <f t="shared" si="2"/>
        <v>50</v>
      </c>
      <c r="AF14" s="2">
        <v>70</v>
      </c>
      <c r="AG14" s="5"/>
      <c r="AH14" t="s">
        <v>5</v>
      </c>
      <c r="AI14" s="5">
        <f>AI25</f>
        <v>0</v>
      </c>
      <c r="AJ14" s="5">
        <f t="shared" ref="AJ14:AO14" si="3">AJ25</f>
        <v>0</v>
      </c>
      <c r="AK14" s="5">
        <f t="shared" si="3"/>
        <v>10</v>
      </c>
      <c r="AL14" s="5">
        <f t="shared" si="3"/>
        <v>0</v>
      </c>
      <c r="AM14" s="5">
        <f t="shared" si="3"/>
        <v>0</v>
      </c>
      <c r="AN14" s="5">
        <f t="shared" si="3"/>
        <v>40</v>
      </c>
      <c r="AO14" s="5">
        <f t="shared" si="3"/>
        <v>50</v>
      </c>
      <c r="AP14" s="37"/>
      <c r="AQ14" s="37"/>
      <c r="AR14" s="5"/>
    </row>
    <row r="15" spans="2:57">
      <c r="B15" s="29" t="s">
        <v>2706</v>
      </c>
      <c r="C15" s="29"/>
      <c r="E15" s="253">
        <f>AC29</f>
        <v>0</v>
      </c>
      <c r="F15" s="253">
        <f>AC40</f>
        <v>0</v>
      </c>
      <c r="G15" s="29"/>
      <c r="H15" s="254" t="str">
        <f t="shared" si="1"/>
        <v>0%</v>
      </c>
      <c r="I15" s="254" t="str">
        <f t="shared" si="0"/>
        <v>0%</v>
      </c>
      <c r="J15" s="254">
        <f>AC66/AC51</f>
        <v>0.69736842105263153</v>
      </c>
      <c r="K15" s="254">
        <f>AC77/AC51</f>
        <v>0.30263157894736842</v>
      </c>
      <c r="X15" s="33"/>
      <c r="Y15" s="5"/>
      <c r="Z15" s="5"/>
      <c r="AA15" s="5"/>
      <c r="AB15" s="5"/>
      <c r="AC15" s="5"/>
      <c r="AD15" s="5"/>
      <c r="AE15" s="5"/>
      <c r="AF15" s="5"/>
      <c r="AG15" s="5"/>
      <c r="AH15" s="33" t="s">
        <v>4</v>
      </c>
      <c r="AI15" s="5">
        <f>AI36</f>
        <v>0</v>
      </c>
      <c r="AJ15" s="5">
        <f t="shared" ref="AJ15:AO15" si="4">AJ36</f>
        <v>0</v>
      </c>
      <c r="AK15" s="5">
        <f t="shared" si="4"/>
        <v>4</v>
      </c>
      <c r="AL15" s="5">
        <f t="shared" si="4"/>
        <v>0</v>
      </c>
      <c r="AM15" s="5">
        <f t="shared" si="4"/>
        <v>0</v>
      </c>
      <c r="AN15" s="5">
        <f t="shared" si="4"/>
        <v>10</v>
      </c>
      <c r="AO15" s="5">
        <f t="shared" si="4"/>
        <v>20</v>
      </c>
      <c r="AP15" s="5"/>
    </row>
    <row r="16" spans="2:57" ht="15">
      <c r="B16" s="29" t="s">
        <v>2721</v>
      </c>
      <c r="C16" s="29"/>
      <c r="E16" s="253">
        <f>AD29</f>
        <v>0</v>
      </c>
      <c r="F16" s="253">
        <f>AD40</f>
        <v>0</v>
      </c>
      <c r="G16" s="29"/>
      <c r="H16" s="254" t="str">
        <f t="shared" si="1"/>
        <v>0%</v>
      </c>
      <c r="I16" s="254" t="str">
        <f t="shared" si="0"/>
        <v>0%</v>
      </c>
      <c r="J16" s="254">
        <f>AD66/AD51</f>
        <v>0.16666666666666666</v>
      </c>
      <c r="K16" s="254">
        <f>AD77/AD51</f>
        <v>0.83333333333333337</v>
      </c>
      <c r="X16" s="33"/>
      <c r="Y16" s="5"/>
      <c r="Z16" s="5"/>
      <c r="AA16" s="5"/>
      <c r="AB16" s="5"/>
      <c r="AC16" s="5"/>
      <c r="AD16" s="5"/>
      <c r="AE16" s="251" t="s">
        <v>2854</v>
      </c>
      <c r="AF16" s="5">
        <f>SUM(Y14:AE14)</f>
        <v>64</v>
      </c>
      <c r="AG16" s="5"/>
      <c r="AH16" s="34" t="s">
        <v>1</v>
      </c>
      <c r="AI16" s="34">
        <f>Z14</f>
        <v>0</v>
      </c>
      <c r="AJ16" s="34">
        <f>AA14</f>
        <v>0</v>
      </c>
      <c r="AK16" s="37">
        <f>AB14</f>
        <v>14</v>
      </c>
      <c r="AL16" s="37">
        <f>SUM(Y14, AC14:AD14)</f>
        <v>0</v>
      </c>
      <c r="AM16" s="37">
        <f>SUM(Y14:AA14,AC14:AD14)</f>
        <v>0</v>
      </c>
      <c r="AN16" s="37">
        <f>AE14</f>
        <v>50</v>
      </c>
      <c r="AO16" s="37">
        <f>AF14</f>
        <v>70</v>
      </c>
      <c r="AP16" s="5"/>
    </row>
    <row r="17" spans="2:42">
      <c r="B17" s="29" t="s">
        <v>2672</v>
      </c>
      <c r="C17" s="29"/>
      <c r="E17" s="281">
        <f>AE29</f>
        <v>40</v>
      </c>
      <c r="F17" s="281">
        <f>AE40</f>
        <v>10</v>
      </c>
      <c r="G17" s="70"/>
      <c r="H17" s="282">
        <f t="shared" si="1"/>
        <v>0.8</v>
      </c>
      <c r="I17" s="282">
        <f t="shared" si="0"/>
        <v>1</v>
      </c>
      <c r="J17" s="282">
        <f>AE66/AE51</f>
        <v>0.80704877180491275</v>
      </c>
      <c r="K17" s="282">
        <f>AE77/AE51</f>
        <v>0.19295122819508723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50</v>
      </c>
      <c r="F18" s="258">
        <f>AF40</f>
        <v>20</v>
      </c>
      <c r="G18" s="247"/>
      <c r="H18" s="259">
        <f t="shared" si="1"/>
        <v>0.7142857142857143</v>
      </c>
      <c r="I18" s="259">
        <f t="shared" si="0"/>
        <v>1</v>
      </c>
      <c r="J18" s="259">
        <f>AF66/AF51</f>
        <v>0.68456501403180547</v>
      </c>
      <c r="K18" s="259">
        <f>AF77/AF51</f>
        <v>0.31543498596819458</v>
      </c>
      <c r="AE18" s="59" t="s">
        <v>2852</v>
      </c>
      <c r="AF18" s="112" t="s">
        <v>2235</v>
      </c>
      <c r="AG18" s="5"/>
      <c r="AH18" t="s">
        <v>5</v>
      </c>
      <c r="AI18" s="6" t="e">
        <f>AI14/AI$16</f>
        <v>#DIV/0!</v>
      </c>
      <c r="AJ18" s="6" t="e">
        <f t="shared" ref="AJ18:AO18" si="5">AJ14/AJ$16</f>
        <v>#DIV/0!</v>
      </c>
      <c r="AK18" s="6">
        <f t="shared" si="5"/>
        <v>0.7142857142857143</v>
      </c>
      <c r="AL18" s="6" t="e">
        <f t="shared" si="5"/>
        <v>#DIV/0!</v>
      </c>
      <c r="AM18" s="6" t="e">
        <f t="shared" si="5"/>
        <v>#DIV/0!</v>
      </c>
      <c r="AN18" s="6">
        <f t="shared" si="5"/>
        <v>0.8</v>
      </c>
      <c r="AO18" s="6">
        <f t="shared" si="5"/>
        <v>0.7142857142857143</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0.2857142857142857</v>
      </c>
      <c r="AL19" s="6" t="e">
        <f t="shared" si="6"/>
        <v>#DIV/0!</v>
      </c>
      <c r="AM19" s="6" t="e">
        <f t="shared" si="6"/>
        <v>#DIV/0!</v>
      </c>
      <c r="AN19" s="6">
        <f t="shared" si="6"/>
        <v>0.2</v>
      </c>
      <c r="AO19" s="6">
        <f t="shared" si="6"/>
        <v>0.2857142857142857</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t="e">
        <f t="shared" si="7"/>
        <v>#DIV/0!</v>
      </c>
      <c r="AM20" s="6" t="e">
        <f t="shared" si="7"/>
        <v>#DIV/0!</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Kahlotus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10</v>
      </c>
      <c r="AL25" s="37">
        <f>SUM(Y29,AC29:AD29)</f>
        <v>0</v>
      </c>
      <c r="AM25" s="37">
        <f>SUM(Y29:AA29,AC29:AD29)</f>
        <v>0</v>
      </c>
      <c r="AN25" s="37">
        <f>AE29</f>
        <v>40</v>
      </c>
      <c r="AO25" s="37">
        <f>AF29</f>
        <v>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10</v>
      </c>
      <c r="AC29" s="2">
        <v>0</v>
      </c>
      <c r="AD29" s="2">
        <v>0</v>
      </c>
      <c r="AE29" s="2">
        <v>40</v>
      </c>
      <c r="AF29" s="2">
        <v>50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0</v>
      </c>
      <c r="AM36" s="37">
        <f>SUM(Y40:AA40,AC40:AD40)</f>
        <v>0</v>
      </c>
      <c r="AN36" s="37">
        <f>AE40</f>
        <v>10</v>
      </c>
      <c r="AO36" s="37">
        <f>AF40</f>
        <v>20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4</v>
      </c>
      <c r="AC40" s="2">
        <v>0</v>
      </c>
      <c r="AD40" s="2">
        <v>0</v>
      </c>
      <c r="AE40" s="2">
        <v>10</v>
      </c>
      <c r="AF40" s="2">
        <v>20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Franklin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Kahlotus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120</v>
      </c>
      <c r="Z51" s="37">
        <f t="shared" si="8"/>
        <v>470</v>
      </c>
      <c r="AA51" s="37">
        <f t="shared" si="8"/>
        <v>270</v>
      </c>
      <c r="AB51" s="37">
        <f t="shared" si="8"/>
        <v>11410</v>
      </c>
      <c r="AC51" s="37">
        <f t="shared" si="8"/>
        <v>380</v>
      </c>
      <c r="AD51" s="37">
        <f t="shared" si="8"/>
        <v>24</v>
      </c>
      <c r="AE51" s="37">
        <f t="shared" si="8"/>
        <v>14045</v>
      </c>
      <c r="AF51" s="37">
        <f t="shared" si="8"/>
        <v>26725</v>
      </c>
      <c r="AG51" s="5"/>
      <c r="AH51" t="s">
        <v>5</v>
      </c>
      <c r="AI51" s="5">
        <f>AI62</f>
        <v>365</v>
      </c>
      <c r="AJ51" s="5">
        <f t="shared" ref="AJ51:AO51" si="9">AJ62</f>
        <v>145</v>
      </c>
      <c r="AK51" s="5">
        <f t="shared" si="9"/>
        <v>6100</v>
      </c>
      <c r="AL51" s="5">
        <f t="shared" si="9"/>
        <v>349</v>
      </c>
      <c r="AM51" s="5">
        <f t="shared" si="9"/>
        <v>6959</v>
      </c>
      <c r="AN51" s="5">
        <f t="shared" si="9"/>
        <v>11335</v>
      </c>
      <c r="AO51" s="5">
        <f t="shared" si="9"/>
        <v>18295</v>
      </c>
      <c r="AP51" s="37"/>
    </row>
    <row r="52" spans="24:44">
      <c r="X52" s="33"/>
      <c r="Y52" s="5"/>
      <c r="Z52" s="5"/>
      <c r="AA52" s="5"/>
      <c r="AB52" s="5"/>
      <c r="AC52" s="5"/>
      <c r="AD52" s="5"/>
      <c r="AE52" s="5"/>
      <c r="AF52" s="5"/>
      <c r="AG52" s="5"/>
      <c r="AH52" s="33" t="s">
        <v>4</v>
      </c>
      <c r="AI52" s="5">
        <f>AI73</f>
        <v>105</v>
      </c>
      <c r="AJ52" s="5">
        <f t="shared" ref="AJ52:AO52" si="10">AJ73</f>
        <v>125</v>
      </c>
      <c r="AK52" s="5">
        <f t="shared" si="10"/>
        <v>5310</v>
      </c>
      <c r="AL52" s="5">
        <f t="shared" si="10"/>
        <v>175</v>
      </c>
      <c r="AM52" s="5">
        <f t="shared" si="10"/>
        <v>5715</v>
      </c>
      <c r="AN52" s="5">
        <f t="shared" si="10"/>
        <v>2710</v>
      </c>
      <c r="AO52" s="5">
        <f t="shared" si="10"/>
        <v>8430</v>
      </c>
      <c r="AP52" s="5"/>
      <c r="AR52" s="31"/>
    </row>
    <row r="53" spans="24:44" ht="15">
      <c r="X53" s="33"/>
      <c r="Y53" s="5"/>
      <c r="Z53" s="5"/>
      <c r="AA53" s="5"/>
      <c r="AB53" s="5"/>
      <c r="AC53" s="5"/>
      <c r="AD53" s="5"/>
      <c r="AE53" s="251" t="s">
        <v>2854</v>
      </c>
      <c r="AF53" s="5">
        <f>SUM(Y51:AE51)</f>
        <v>26719</v>
      </c>
      <c r="AG53" s="5"/>
      <c r="AH53" s="34" t="s">
        <v>1</v>
      </c>
      <c r="AI53" s="34">
        <f>Z51</f>
        <v>470</v>
      </c>
      <c r="AJ53" s="34">
        <f>AA51</f>
        <v>270</v>
      </c>
      <c r="AK53" s="37">
        <f>AB51</f>
        <v>11410</v>
      </c>
      <c r="AL53" s="37">
        <f>SUM(Y51, AC51:AD51)</f>
        <v>524</v>
      </c>
      <c r="AM53" s="37">
        <f>SUM(Y51:AD51)</f>
        <v>12674</v>
      </c>
      <c r="AN53" s="37">
        <f>AE51</f>
        <v>14045</v>
      </c>
      <c r="AO53" s="37">
        <f>AF51</f>
        <v>26725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0.77659574468085102</v>
      </c>
      <c r="AJ55" s="6">
        <f t="shared" ref="AJ55:AO55" si="11">AJ51/AJ$53</f>
        <v>0.53703703703703709</v>
      </c>
      <c r="AK55" s="6">
        <f t="shared" si="11"/>
        <v>0.53461875547765114</v>
      </c>
      <c r="AL55" s="6">
        <f t="shared" si="11"/>
        <v>0.66603053435114501</v>
      </c>
      <c r="AM55" s="6">
        <f t="shared" si="11"/>
        <v>0.54907685024459518</v>
      </c>
      <c r="AN55" s="6">
        <f t="shared" si="11"/>
        <v>0.80704877180491275</v>
      </c>
      <c r="AO55" s="6">
        <f t="shared" si="11"/>
        <v>0.68456501403180547</v>
      </c>
      <c r="AP55" s="5"/>
    </row>
    <row r="56" spans="24:44" ht="15">
      <c r="AG56" s="5"/>
      <c r="AH56" s="33" t="s">
        <v>4</v>
      </c>
      <c r="AI56" s="6">
        <f>AI52/AI$53</f>
        <v>0.22340425531914893</v>
      </c>
      <c r="AJ56" s="6">
        <f t="shared" ref="AJ56:AO56" si="12">AJ52/AJ$53</f>
        <v>0.46296296296296297</v>
      </c>
      <c r="AK56" s="6">
        <f t="shared" si="12"/>
        <v>0.4653812445223488</v>
      </c>
      <c r="AL56" s="6">
        <f t="shared" si="12"/>
        <v>0.33396946564885494</v>
      </c>
      <c r="AM56" s="6">
        <f t="shared" si="12"/>
        <v>0.45092314975540476</v>
      </c>
      <c r="AN56" s="6">
        <f t="shared" si="12"/>
        <v>0.19295122819508723</v>
      </c>
      <c r="AO56" s="6">
        <f t="shared" si="12"/>
        <v>0.31543498596819458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365</v>
      </c>
      <c r="AJ62" s="37">
        <f>AA66</f>
        <v>145</v>
      </c>
      <c r="AK62" s="37">
        <f>AB66</f>
        <v>6100</v>
      </c>
      <c r="AL62" s="37">
        <f>SUM(Y66,AC66:AD66)</f>
        <v>349</v>
      </c>
      <c r="AM62" s="37">
        <f>SUM(Y66:AD66)</f>
        <v>6959</v>
      </c>
      <c r="AN62" s="37">
        <f>AE66</f>
        <v>11335</v>
      </c>
      <c r="AO62" s="37">
        <f>AF66</f>
        <v>18295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80</v>
      </c>
      <c r="Z66" s="2">
        <v>365</v>
      </c>
      <c r="AA66" s="2">
        <v>145</v>
      </c>
      <c r="AB66" s="2">
        <v>6100</v>
      </c>
      <c r="AC66" s="2">
        <v>265</v>
      </c>
      <c r="AD66" s="2">
        <v>4</v>
      </c>
      <c r="AE66" s="2">
        <v>11335</v>
      </c>
      <c r="AF66" s="2">
        <v>18295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Kahlotus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105</v>
      </c>
      <c r="AJ73" s="37">
        <f>AA77</f>
        <v>125</v>
      </c>
      <c r="AK73" s="37">
        <f>AB77</f>
        <v>5310</v>
      </c>
      <c r="AL73" s="37">
        <f>SUM(Y77, AC77:AD77)</f>
        <v>175</v>
      </c>
      <c r="AM73" s="37">
        <f>SUM(Y77:AD77)</f>
        <v>5715</v>
      </c>
      <c r="AN73" s="37">
        <f>AE77</f>
        <v>2710</v>
      </c>
      <c r="AO73" s="37">
        <f>AF77</f>
        <v>8430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40</v>
      </c>
      <c r="Z77" s="2">
        <v>105</v>
      </c>
      <c r="AA77" s="2">
        <v>125</v>
      </c>
      <c r="AB77" s="2">
        <v>5310</v>
      </c>
      <c r="AC77" s="2">
        <v>115</v>
      </c>
      <c r="AD77" s="2">
        <v>20</v>
      </c>
      <c r="AE77" s="2">
        <v>2710</v>
      </c>
      <c r="AF77" s="2">
        <v>8430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Kahlotus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5DFF9AF-E1C3-4F9D-AD4C-450ADE3A0547}">
  <ds:schemaRefs>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08070d79-41db-40ac-93d9-3fd8f1a76dba"/>
    <ds:schemaRef ds:uri="8556b74b-f608-4f00-b474-15eeb07aa725"/>
    <ds:schemaRef ds:uri="http://schemas.microsoft.com/office/2006/metadata/propertie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2024-06-03T18:47:46Z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