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D19" i="297"/>
  <c r="F19" i="297"/>
  <c r="G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E72" i="283"/>
  <c r="AK40" i="283"/>
  <c r="AK16" i="283"/>
  <c r="G80" i="282"/>
  <c r="AI27" i="282"/>
  <c r="G82" i="282"/>
  <c r="AI29" i="282"/>
  <c r="AI26" i="282"/>
  <c r="G81" i="282"/>
  <c r="AI28" i="282"/>
  <c r="E19" i="297" l="1"/>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<sst xmlns="http://schemas.openxmlformats.org/spreadsheetml/2006/main" count="5379" uniqueCount="2858">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</sst>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B22077B-2BF3-4DB4-8847-B745D65FDB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0950783-2153-445F-9AF6-A36F09FD89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B43D418-6F0C-400B-AA3A-59FB74BA9F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56B87D4-C8CC-4B00-BED7-398B695865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CACA6C2C-CB46-477F-B64B-E0F74A866C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8</c:v>
                </c:pt>
                <c:pt idx="1">
                  <c:v>0</c:v>
                </c:pt>
                <c:pt idx="2">
                  <c:v>74</c:v>
                </c:pt>
                <c:pt idx="3">
                  <c:v>32</c:v>
                </c:pt>
                <c:pt idx="4">
                  <c:v>881</c:v>
                </c:pt>
              </c:numCache>
            </c:numRef>
          </c:val>
          <c:extLst>
            <c:ext xmlns:c15="http://schemas.microsoft.com/office/drawing/2012/chart" uri="{02D57815-91ED-43cb-92C2-25804820EDAC}">
              <c15:datalabelsRange>
                <c15:f>'Racial Composition'!$AI$26:$AI$30</c15:f>
                <c15:dlblRangeCache>
                  <c:ptCount val="5"/>
                  <c:pt idx="0">
                    <c:v>8
(1%)</c:v>
                  </c:pt>
                  <c:pt idx="1">
                    <c:v>0
(0%)</c:v>
                  </c:pt>
                  <c:pt idx="2">
                    <c:v>74
(7%)</c:v>
                  </c:pt>
                  <c:pt idx="3">
                    <c:v>32
(3%)</c:v>
                  </c:pt>
                  <c:pt idx="4">
                    <c:v>881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40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0</c:v>
                </c:pt>
                <c:pt idx="2">
                  <c:v>4</c:v>
                </c:pt>
                <c:pt idx="3">
                  <c:v>0</c:v>
                </c:pt>
                <c:pt idx="4">
                  <c:v>230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90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14</c:v>
                </c:pt>
                <c:pt idx="2">
                  <c:v>345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40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14</c:v>
                </c:pt>
                <c:pt idx="2">
                  <c:v>230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50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4.185022026431718E-2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0.22222222222222221</c:v>
                </c:pt>
                <c:pt idx="2">
                  <c:v>0.19823788546255505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0.77777777777777779</c:v>
                </c:pt>
                <c:pt idx="2">
                  <c:v>0.75991189427312777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4.185022026431718E-2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1</c:v>
                </c:pt>
                <c:pt idx="4">
                  <c:v>0.22222222222222221</c:v>
                </c:pt>
                <c:pt idx="5">
                  <c:v>0.19823788546255505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c:v>
                </c:pt>
                <c:pt idx="4">
                  <c:v>0.77777777777777779</c:v>
                </c:pt>
                <c:pt idx="5">
                  <c:v>0.75991189427312777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4.185022026431718E-2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0.22222222222222221</c:v>
                </c:pt>
                <c:pt idx="2">
                  <c:v>0.19823788546255505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0.77777777777777779</c:v>
                </c:pt>
                <c:pt idx="2">
                  <c:v>0.75991189427312777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2.3529411764705882E-2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0.29411764705882354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0.67647058823529416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0.26470588235294118</c:v>
                </c:pt>
                <c:pt idx="1">
                  <c:v>0.29411764705882354</c:v>
                </c:pt>
                <c:pt idx="3">
                  <c:v>0.36178861788617889</c:v>
                </c:pt>
                <c:pt idx="4">
                  <c:v>0.30894308943089432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0.14705882352941177</c:v>
                </c:pt>
                <c:pt idx="1">
                  <c:v>0.52941176470588236</c:v>
                </c:pt>
                <c:pt idx="3">
                  <c:v>0.17073170731707318</c:v>
                </c:pt>
                <c:pt idx="4">
                  <c:v>0.44715447154471544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0.29411764705882354</c:v>
                </c:pt>
                <c:pt idx="1">
                  <c:v>0.17647058823529413</c:v>
                </c:pt>
                <c:pt idx="3">
                  <c:v>0.15853658536585366</c:v>
                </c:pt>
                <c:pt idx="4">
                  <c:v>0.23170731707317074</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0.26470588235294118</c:v>
                </c:pt>
                <c:pt idx="1">
                  <c:v>0</c:v>
                </c:pt>
                <c:pt idx="3">
                  <c:v>0.30081300813008133</c:v>
                </c:pt>
                <c:pt idx="4">
                  <c:v>8.130081300813009E-3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-30</c:v>
                </c:pt>
                <c:pt idx="1">
                  <c:v>-5</c:v>
                </c:pt>
                <c:pt idx="2">
                  <c:v>35</c:v>
                </c:pt>
                <c:pt idx="3">
                  <c:v>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c:v>
                </c:pt>
                <c:pt idx="1">
                  <c:v>-10</c:v>
                </c:pt>
                <c:pt idx="2">
                  <c:v>-40</c:v>
                </c:pt>
                <c:pt idx="3">
                  <c:v>155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1A90725-1557-4C44-BFF4-BEF2646150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2946C55-643F-448F-9C62-1FD4CCFAF25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3DE05CEB-F875-4138-90D3-333224A4084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56E04D44-0A01-4013-90DD-96097632142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26</c:v>
                </c:pt>
                <c:pt idx="1">
                  <c:v>15</c:v>
                </c:pt>
                <c:pt idx="2">
                  <c:v>50</c:v>
                </c:pt>
                <c:pt idx="3">
                  <c:v>170</c:v>
                </c:pt>
              </c:numCache>
            </c:numRef>
          </c:val>
          <c:smooth val="0"/>
          <c:extLst>
            <c:ext xmlns:c15="http://schemas.microsoft.com/office/drawing/2012/chart" uri="{02D57815-91ED-43cb-92C2-25804820EDAC}">
              <c15:datalabelsRange>
                <c15:f>'Rental Affordability'!$AI$78:$AI$81</c15:f>
                <c15:dlblRangeCache>
                  <c:ptCount val="4"/>
                  <c:pt idx="0">
                    <c:v>Difference:
+41 units</c:v>
                  </c:pt>
                  <c:pt idx="1">
                    <c:v>Difference:
-5 units</c:v>
                  </c:pt>
                  <c:pt idx="2">
                    <c:v>Difference:
-75 units</c:v>
                  </c:pt>
                  <c:pt idx="3">
                    <c:v>Difference:
+80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 Bonneville</c:v>
                </c:pt>
                <c:pt idx="1">
                  <c:v>Skamania County</c:v>
                </c:pt>
              </c:strCache>
            </c:strRef>
          </c:cat>
          <c:val>
            <c:numRef>
              <c:f>('Racial Composition'!$AH$30,'Racial Composition'!$AN$30)</c:f>
              <c:numCache>
                <c:formatCode>0%</c:formatCode>
                <c:ptCount val="2"/>
                <c:pt idx="0">
                  <c:v>0.88542713567839193</c:v>
                </c:pt>
                <c:pt idx="1">
                  <c:v>0.8719133210146145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 Bonneville</c:v>
                </c:pt>
                <c:pt idx="1">
                  <c:v>Skamania County</c:v>
                </c:pt>
              </c:strCache>
            </c:strRef>
          </c:cat>
          <c:val>
            <c:numRef>
              <c:f>('Racial Composition'!$AH$29,'Racial Composition'!$AN$29)</c:f>
              <c:numCache>
                <c:formatCode>0%</c:formatCode>
                <c:ptCount val="2"/>
                <c:pt idx="0">
                  <c:v>3.2160804020100506E-2</c:v>
                </c:pt>
                <c:pt idx="1">
                  <c:v>4.4179405341844447E-2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 Bonneville</c:v>
                </c:pt>
                <c:pt idx="1">
                  <c:v>Skamania County</c:v>
                </c:pt>
              </c:strCache>
            </c:strRef>
          </c:cat>
          <c:val>
            <c:numRef>
              <c:f>('Racial Composition'!$AH$28,'Racial Composition'!$AN$28)</c:f>
              <c:numCache>
                <c:formatCode>0%</c:formatCode>
                <c:ptCount val="2"/>
                <c:pt idx="0">
                  <c:v>7.4371859296482407E-2</c:v>
                </c:pt>
                <c:pt idx="1">
                  <c:v>6.5933142953132878E-2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 Bonneville</c:v>
                </c:pt>
                <c:pt idx="1">
                  <c:v>Skamania County</c:v>
                </c:pt>
              </c:strCache>
            </c:strRef>
          </c:cat>
          <c:val>
            <c:numRef>
              <c:f>('Racial Composition'!$AH$27,'Racial Composition'!$AN$27)</c:f>
              <c:numCache>
                <c:formatCode>0%</c:formatCode>
                <c:ptCount val="2"/>
                <c:pt idx="0">
                  <c:v>0</c:v>
                </c:pt>
                <c:pt idx="1">
                  <c:v>4.7035108348731734E-3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 Bonneville</c:v>
                </c:pt>
                <c:pt idx="1">
                  <c:v>Skamania County</c:v>
                </c:pt>
              </c:strCache>
            </c:strRef>
          </c:cat>
          <c:val>
            <c:numRef>
              <c:f>('Racial Composition'!$AH$26,'Racial Composition'!$AN$26)</c:f>
              <c:numCache>
                <c:formatCode>0%</c:formatCode>
                <c:ptCount val="2"/>
                <c:pt idx="0">
                  <c:v>8.0402010050251264E-3</c:v>
                </c:pt>
                <c:pt idx="1">
                  <c:v>1.3270619855535024E-2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45</c:v>
                </c:pt>
                <c:pt idx="1">
                  <c:v>25</c:v>
                </c:pt>
                <c:pt idx="2">
                  <c:v>50</c:v>
                </c:pt>
                <c:pt idx="3">
                  <c:v>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50</c:v>
                </c:pt>
                <c:pt idx="1">
                  <c:v>90</c:v>
                </c:pt>
                <c:pt idx="2">
                  <c:v>30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9D822DE-68EB-42BA-B355-BAF4ADF0269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993E6E2-2CD2-496D-B95A-7B121C6510E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EB30F0A7-6C38-4A92-9BA4-D098CEBE2E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DD12FC5-A07C-4466-9E87-303BF2AD1A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55</c:v>
                </c:pt>
                <c:pt idx="1">
                  <c:v>95</c:v>
                </c:pt>
                <c:pt idx="2">
                  <c:v>55</c:v>
                </c:pt>
                <c:pt idx="3">
                  <c:v>50</c:v>
                </c:pt>
              </c:numCache>
            </c:numRef>
          </c:val>
          <c:smooth val="0"/>
          <c:extLst>
            <c:ext xmlns:c15="http://schemas.microsoft.com/office/drawing/2012/chart" uri="{02D57815-91ED-43cb-92C2-25804820EDAC}">
              <c15:datalabelsRange>
                <c15:f>'Rental Affordability'!$AI$35:$AI$38</c15:f>
                <c15:dlblRangeCache>
                  <c:ptCount val="4"/>
                  <c:pt idx="0">
                    <c:v>Surplus: 
+5 units</c:v>
                  </c:pt>
                  <c:pt idx="1">
                    <c:v>Surplus: 
+65 units</c:v>
                  </c:pt>
                  <c:pt idx="2">
                    <c:v>Shortfall:
-20 units</c:v>
                  </c:pt>
                  <c:pt idx="3">
                    <c:v>Shortfall:
-45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0.13333333333333333</c:v>
                </c:pt>
                <c:pt idx="5">
                  <c:v>0.1276595744680851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0.12222222222222222</c:v>
                </c:pt>
                <c:pt idx="5">
                  <c:v>0.11702127659574468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1</c:v>
                </c:pt>
                <c:pt idx="3">
                  <c:v>0</c:v>
                </c:pt>
                <c:pt idx="4">
                  <c:v>0.25555555555555554</c:v>
                </c:pt>
                <c:pt idx="5">
                  <c:v>0.26595744680851063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8.8888888888888892E-2</c:v>
                </c:pt>
                <c:pt idx="5">
                  <c:v>8.5106382978723402E-2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0.4</c:v>
                </c:pt>
                <c:pt idx="5">
                  <c:v>0.40425531914893614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60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55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115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10</c:v>
                </c:pt>
                <c:pt idx="2">
                  <c:v>0</c:v>
                </c:pt>
                <c:pt idx="3">
                  <c:v>0</c:v>
                </c:pt>
                <c:pt idx="4">
                  <c:v>0</c:v>
                </c:pt>
                <c:pt idx="5">
                  <c:v>180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0.13333333333333333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0.12222222222222222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1</c:v>
                </c:pt>
                <c:pt idx="1">
                  <c:v>0.375</c:v>
                </c:pt>
                <c:pt idx="2">
                  <c:v>0.25555555555555554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8.8888888888888892E-2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0.625</c:v>
                </c:pt>
                <c:pt idx="2">
                  <c:v>0.4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60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55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6</c:v>
                </c:pt>
                <c:pt idx="2">
                  <c:v>115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10</c:v>
                </c:pt>
                <c:pt idx="2">
                  <c:v>180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0.21075268817204301</c:v>
                </c:pt>
                <c:pt idx="2">
                  <c:v>0.1276595744680851</c:v>
                </c:pt>
                <c:pt idx="4">
                  <c:v>0</c:v>
                </c:pt>
                <c:pt idx="5">
                  <c:v>0</c:v>
                </c:pt>
                <c:pt idx="7">
                  <c:v>0</c:v>
                </c:pt>
                <c:pt idx="8">
                  <c:v>0</c:v>
                </c:pt>
                <c:pt idx="10">
                  <c:v>0</c:v>
                </c:pt>
                <c:pt idx="11">
                  <c:v>0</c:v>
                </c:pt>
                <c:pt idx="13">
                  <c:v>1</c:v>
                </c:pt>
                <c:pt idx="14">
                  <c:v>0</c:v>
                </c:pt>
                <c:pt idx="16">
                  <c:v>0.19775280898876405</c:v>
                </c:pt>
                <c:pt idx="17">
                  <c:v>0.13333333333333333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9.4623655913978491E-2</c:v>
                </c:pt>
                <c:pt idx="2">
                  <c:v>0.11702127659574468</c:v>
                </c:pt>
                <c:pt idx="4">
                  <c:v>0</c:v>
                </c:pt>
                <c:pt idx="5">
                  <c:v>0</c:v>
                </c:pt>
                <c:pt idx="7">
                  <c:v>0</c:v>
                </c:pt>
                <c:pt idx="8">
                  <c:v>0</c:v>
                </c:pt>
                <c:pt idx="10">
                  <c:v>0</c:v>
                </c:pt>
                <c:pt idx="11">
                  <c:v>0</c:v>
                </c:pt>
                <c:pt idx="13">
                  <c:v>0</c:v>
                </c:pt>
                <c:pt idx="14">
                  <c:v>0</c:v>
                </c:pt>
                <c:pt idx="16">
                  <c:v>9.8876404494382023E-2</c:v>
                </c:pt>
                <c:pt idx="17">
                  <c:v>0.12222222222222222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0.16989247311827957</c:v>
                </c:pt>
                <c:pt idx="2">
                  <c:v>0.26595744680851063</c:v>
                </c:pt>
                <c:pt idx="4">
                  <c:v>0</c:v>
                </c:pt>
                <c:pt idx="5">
                  <c:v>0</c:v>
                </c:pt>
                <c:pt idx="7">
                  <c:v>0</c:v>
                </c:pt>
                <c:pt idx="8">
                  <c:v>0</c:v>
                </c:pt>
                <c:pt idx="10">
                  <c:v>0</c:v>
                </c:pt>
                <c:pt idx="11">
                  <c:v>1</c:v>
                </c:pt>
                <c:pt idx="13">
                  <c:v>0</c:v>
                </c:pt>
                <c:pt idx="14">
                  <c:v>1</c:v>
                </c:pt>
                <c:pt idx="16">
                  <c:v>0.17752808988764046</c:v>
                </c:pt>
                <c:pt idx="17">
                  <c:v>0.25555555555555554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0.12903225806451613</c:v>
                </c:pt>
                <c:pt idx="2">
                  <c:v>8.5106382978723402E-2</c:v>
                </c:pt>
                <c:pt idx="4">
                  <c:v>0</c:v>
                </c:pt>
                <c:pt idx="5">
                  <c:v>0</c:v>
                </c:pt>
                <c:pt idx="7">
                  <c:v>0</c:v>
                </c:pt>
                <c:pt idx="8">
                  <c:v>0</c:v>
                </c:pt>
                <c:pt idx="10">
                  <c:v>0</c:v>
                </c:pt>
                <c:pt idx="11">
                  <c:v>0</c:v>
                </c:pt>
                <c:pt idx="13">
                  <c:v>0</c:v>
                </c:pt>
                <c:pt idx="14">
                  <c:v>0</c:v>
                </c:pt>
                <c:pt idx="16">
                  <c:v>0.1348314606741573</c:v>
                </c:pt>
                <c:pt idx="17">
                  <c:v>8.8888888888888892E-2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0.39569892473118279</c:v>
                </c:pt>
                <c:pt idx="2">
                  <c:v>0.40425531914893614</c:v>
                </c:pt>
                <c:pt idx="4">
                  <c:v>0</c:v>
                </c:pt>
                <c:pt idx="5">
                  <c:v>1</c:v>
                </c:pt>
                <c:pt idx="7">
                  <c:v>1</c:v>
                </c:pt>
                <c:pt idx="8">
                  <c:v>0</c:v>
                </c:pt>
                <c:pt idx="10">
                  <c:v>0</c:v>
                </c:pt>
                <c:pt idx="11">
                  <c:v>0</c:v>
                </c:pt>
                <c:pt idx="13">
                  <c:v>0</c:v>
                </c:pt>
                <c:pt idx="14">
                  <c:v>0</c:v>
                </c:pt>
                <c:pt idx="16">
                  <c:v>0.39101123595505616</c:v>
                </c:pt>
                <c:pt idx="17">
                  <c:v>0.4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4</c:v>
                </c:pt>
                <c:pt idx="3">
                  <c:v>4</c:v>
                </c:pt>
                <c:pt idx="4">
                  <c:v>280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14</c:v>
                </c:pt>
                <c:pt idx="2">
                  <c:v>280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1</c:v>
                </c:pt>
                <c:pt idx="3">
                  <c:v>1</c:v>
                </c:pt>
                <c:pt idx="4">
                  <c:v>0.62222222222222223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0.37777777777777777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0.62222222222222223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0.37777777777777777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North Bonneville</c:v>
                  </c:pt>
                  <c:pt idx="2">
                    <c:v>Skamania County</c:v>
                  </c:pt>
                </c:lvl>
              </c:multiLvlStrCache>
            </c:multiLvlStrRef>
          </c:cat>
          <c:val>
            <c:numRef>
              <c:f>('Racial Composition'!$AG$39:$AH$39,'Racial Composition'!$AM$39:$AN$39)</c:f>
              <c:numCache>
                <c:formatCode>0%</c:formatCode>
                <c:ptCount val="4"/>
                <c:pt idx="0">
                  <c:v>0.95823842065299925</c:v>
                </c:pt>
                <c:pt idx="1">
                  <c:v>0.88542713567839193</c:v>
                </c:pt>
                <c:pt idx="2">
                  <c:v>0.88330516765987721</c:v>
                </c:pt>
                <c:pt idx="3">
                  <c:v>0.8719133210146145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North Bonneville</c:v>
                  </c:pt>
                  <c:pt idx="2">
                    <c:v>Skamania County</c:v>
                  </c:pt>
                </c:lvl>
              </c:multiLvlStrCache>
            </c:multiLvlStrRef>
          </c:cat>
          <c:val>
            <c:numRef>
              <c:f>('Racial Composition'!$AG$38:$AH$38,'Racial Composition'!$AM$38:$AN$38)</c:f>
              <c:numCache>
                <c:formatCode>0%</c:formatCode>
                <c:ptCount val="4"/>
                <c:pt idx="0">
                  <c:v>3.8724373576309791E-2</c:v>
                </c:pt>
                <c:pt idx="1">
                  <c:v>4.0201005025125629E-2</c:v>
                </c:pt>
                <c:pt idx="2">
                  <c:v>5.9592635417593166E-2</c:v>
                </c:pt>
                <c:pt idx="3">
                  <c:v>6.215353603225264E-2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North Bonneville</c:v>
                  </c:pt>
                  <c:pt idx="2">
                    <c:v>Skamania County</c:v>
                  </c:pt>
                </c:lvl>
              </c:multiLvlStrCache>
            </c:multiLvlStrRef>
          </c:cat>
          <c:val>
            <c:numRef>
              <c:f>('Racial Composition'!$AG$37:$AH$37,'Racial Composition'!$AM$37:$AN$37)</c:f>
              <c:numCache>
                <c:formatCode>0%</c:formatCode>
                <c:ptCount val="4"/>
                <c:pt idx="0">
                  <c:v>3.0372057706909645E-3</c:v>
                </c:pt>
                <c:pt idx="1">
                  <c:v>7.4371859296482407E-2</c:v>
                </c:pt>
                <c:pt idx="2">
                  <c:v>5.7102196922529574E-2</c:v>
                </c:pt>
                <c:pt idx="3">
                  <c:v>6.5933142953132878E-2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E226683-37C2-40D3-BE86-3F3D80600D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ADBD910-4E54-42BE-8546-570B25A1CE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23E3E95-21AB-40E7-83C2-EB7F752482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74</c:v>
                </c:pt>
                <c:pt idx="1">
                  <c:v>40</c:v>
                </c:pt>
                <c:pt idx="2">
                  <c:v>881</c:v>
                </c:pt>
              </c:numCache>
            </c:numRef>
          </c:val>
          <c:extLst>
            <c:ext xmlns:c15="http://schemas.microsoft.com/office/drawing/2012/chart" uri="{02D57815-91ED-43cb-92C2-25804820EDAC}">
              <c15:datalabelsRange>
                <c15:f>'Racial Composition'!$AI$37:$AI$39</c15:f>
                <c15:dlblRangeCache>
                  <c:ptCount val="3"/>
                  <c:pt idx="0">
                    <c:v>74
(7%)</c:v>
                  </c:pt>
                  <c:pt idx="1">
                    <c:v>40
(4%)</c:v>
                  </c:pt>
                  <c:pt idx="2">
                    <c:v>881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North Bonneville</c:v>
                </c:pt>
                <c:pt idx="1">
                  <c:v>Skamania County</c:v>
                </c:pt>
              </c:strCache>
            </c:strRef>
          </c:cat>
          <c:val>
            <c:numRef>
              <c:f>('Racial Composition'!$AH$39,'Racial Composition'!$AN$39)</c:f>
              <c:numCache>
                <c:formatCode>0%</c:formatCode>
                <c:ptCount val="2"/>
                <c:pt idx="0">
                  <c:v>0.88542713567839193</c:v>
                </c:pt>
                <c:pt idx="1">
                  <c:v>0.8719133210146145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North Bonneville</c:v>
                </c:pt>
                <c:pt idx="1">
                  <c:v>Skamania County</c:v>
                </c:pt>
              </c:strCache>
            </c:strRef>
          </c:cat>
          <c:val>
            <c:numRef>
              <c:f>('Racial Composition'!$AH$38,'Racial Composition'!$AN$38)</c:f>
              <c:numCache>
                <c:formatCode>0%</c:formatCode>
                <c:ptCount val="2"/>
                <c:pt idx="0">
                  <c:v>4.0201005025125629E-2</c:v>
                </c:pt>
                <c:pt idx="1">
                  <c:v>6.215353603225264E-2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North Bonneville</c:v>
                </c:pt>
                <c:pt idx="1">
                  <c:v>Skamania County</c:v>
                </c:pt>
              </c:strCache>
            </c:strRef>
          </c:cat>
          <c:val>
            <c:numRef>
              <c:f>('Racial Composition'!$AH$37,'Racial Composition'!$AN$37)</c:f>
              <c:numCache>
                <c:formatCode>0%</c:formatCode>
                <c:ptCount val="2"/>
                <c:pt idx="0">
                  <c:v>7.4371859296482407E-2</c:v>
                </c:pt>
                <c:pt idx="1">
                  <c:v>6.5933142953132878E-2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90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c:v>
                </c:pt>
                <c:pt idx="1">
                  <c:v>0</c:v>
                </c:pt>
                <c:pt idx="2">
                  <c:v>4</c:v>
                </c:pt>
                <c:pt idx="3">
                  <c:v>0</c:v>
                </c:pt>
                <c:pt idx="4">
                  <c:v>345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4.185022026431718E-2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1</c:v>
                </c:pt>
                <c:pt idx="4">
                  <c:v>0.22222222222222221</c:v>
                </c:pt>
                <c:pt idx="5">
                  <c:v>0.19823788546255505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c:v>
                </c:pt>
                <c:pt idx="4">
                  <c:v>0.77777777777777779</c:v>
                </c:pt>
                <c:pt idx="5">
                  <c:v>0.75991189427312777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2.3529411764705882E-2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0.29411764705882354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0.67647058823529416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North Bonneville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Skamania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796</v>
      </c>
    </row>
    <row r="7" spans="2:10" ht="20.25">
      <c r="B7" s="9"/>
      <c r="C7" s="48" t="s">
        <v>1957</v>
      </c>
    </row>
    <row r="8" spans="2:10" ht="20.25">
      <c r="B8" s="8" t="s">
        <v>2678</v>
      </c>
      <c r="C8" s="45" t="str">
        <f>IFERROR(INDEX(GEOID[GEO_ID],MATCH(City,GEOID[NAME],0)),"(not found)")</f>
        <v>1600000US5349555</v>
      </c>
    </row>
    <row r="9" spans="2:10" ht="20.25">
      <c r="B9" s="8"/>
      <c r="C9" s="45" t="str">
        <f>IFERROR(INDEX(GEOID[GEO_ID],MATCH(County,GEOID[NAME],0)),"(not found)")</f>
        <v>0500000US53059</v>
      </c>
    </row>
    <row r="11" spans="2:10" ht="20.25">
      <c r="B11" s="8" t="s">
        <v>2677</v>
      </c>
      <c r="C11" s="49" t="str">
        <f>IFERROR(INDEX(WA_CDPs[GEO_ID_CHAS],MATCH(City,WA_CDPs[NAME],0)),"(not found)")</f>
        <v>16000US5349555</v>
      </c>
    </row>
    <row r="12" spans="2:10" ht="20.25">
      <c r="B12" s="8"/>
      <c r="C12" s="49" t="str">
        <f>IFERROR(INDEX(WA_Counties[GEO_ID_CHAS],MATCH(County,WA_Counties[NAME],0)),"(not found)")</f>
        <v>05000US53059</v>
      </c>
    </row>
    <row r="14" spans="2:10" ht="20.25">
      <c r="B14" s="8" t="s">
        <v>2695</v>
      </c>
      <c r="C14" s="49" t="str">
        <f>SUBSTITUTE(SUBSTITUTE(SUBSTITUTE(City, " city, Washington", ""), " town, Washington", ""), " CDP, Washington", "")</f>
        <v>North Bonneville</v>
      </c>
    </row>
    <row r="15" spans="2:10" ht="20.25">
      <c r="B15" s="8"/>
      <c r="C15" s="49" t="str">
        <f>SUBSTITUTE(County,", Washington","")</f>
        <v>Skamania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North Bonneville and Skamania County, 2015 and 2020</v>
      </c>
      <c r="E76" s="7" t="s">
        <v>2697</v>
      </c>
      <c r="H76" s="42" t="s">
        <v>2407</v>
      </c>
    </row>
    <row r="77" spans="2:10">
      <c r="B77" s="7" t="str">
        <f>'Racial Composition'!C74</f>
        <v>Table 2. Racial composition percentage of North Bonneville and Skamania County 2015 and 2020</v>
      </c>
      <c r="E77" s="7" t="s">
        <v>2697</v>
      </c>
    </row>
    <row r="78" spans="2:10">
      <c r="B78" s="7" t="str">
        <f>'Cost Burden'!C4</f>
        <v>Table 3. North Bonneville number of households by housing cost burden, 2019</v>
      </c>
      <c r="E78" s="7" t="s">
        <v>2804</v>
      </c>
    </row>
    <row r="79" spans="2:10">
      <c r="B79" s="7" t="str">
        <f>'Cost Burden'!C173</f>
        <v>Table 4. North Bonneville percentage of households by housing cost burden, 2019</v>
      </c>
      <c r="E79" s="7" t="s">
        <v>2804</v>
      </c>
    </row>
    <row r="80" spans="2:10">
      <c r="B80" s="7" t="str">
        <f>'Rental Affordability'!C5</f>
        <v>Table 5. North Bonneville and Skamania County rental units by affordability and households by income, 2019</v>
      </c>
      <c r="E80" s="7" t="s">
        <v>1266</v>
      </c>
    </row>
    <row r="81" spans="2:5">
      <c r="B81" s="7" t="str">
        <f>Income!B6</f>
        <v>Table 6. North Bonneville count of households by income and race, 2019</v>
      </c>
      <c r="E81" s="7" t="s">
        <v>2662</v>
      </c>
    </row>
    <row r="82" spans="2:5">
      <c r="B82" s="7" t="str">
        <f>Income!B119</f>
        <v>Table 7. North Bonneville five year change in households by income and race, 2014 - 2019</v>
      </c>
      <c r="E82" s="7" t="s">
        <v>2662</v>
      </c>
    </row>
    <row r="83" spans="2:5">
      <c r="B83" s="7" t="str">
        <f>Income!B146</f>
        <v>Table 8. North Bonneville five year change in distribution of households by income and race, 2014 - 2019</v>
      </c>
      <c r="E83" s="7" t="s">
        <v>2662</v>
      </c>
    </row>
    <row r="84" spans="2:5">
      <c r="B84" s="7" t="str">
        <f>Tenure!B5</f>
        <v>Table 9. North Bonneville count of owner and renter households by racial group, 2019</v>
      </c>
      <c r="E84" s="7" t="s">
        <v>0</v>
      </c>
    </row>
    <row r="86" spans="2:5" ht="15">
      <c r="B86" s="290" t="s">
        <v>2805</v>
      </c>
      <c r="C86" s="290"/>
      <c r="D86" s="290"/>
      <c r="E86" s="290"/>
    </row>
    <row r="87" spans="2:5">
      <c r="B87" s="10" t="s">
        <v>2806</v>
      </c>
    </row>
    <row r="88" spans="2:5">
      <c r="B88" s="7" t="str">
        <f>'Racial Composition'!C29</f>
        <v>Chart 1. North Bonneville population by race and Hispanic or Latino ethnicity, 2020</v>
      </c>
      <c r="E88" s="7" t="s">
        <v>2697</v>
      </c>
    </row>
    <row r="89" spans="2:5">
      <c r="B89" s="7" t="str">
        <f>'Racial Composition'!C56</f>
        <v>Chart 1a. North Bonneville population by race and Hispanic ethnicity, 2020</v>
      </c>
      <c r="E89" s="7" t="s">
        <v>2697</v>
      </c>
    </row>
    <row r="90" spans="2:5">
      <c r="B90" s="7" t="str">
        <f>'Racial Composition'!C87</f>
        <v>Chart 2. Racial composition of North Bonneville and Skamania County, 2020</v>
      </c>
      <c r="E90" s="7" t="s">
        <v>2697</v>
      </c>
    </row>
    <row r="91" spans="2:5">
      <c r="B91" s="7" t="str">
        <f>'Racial Composition'!C113</f>
        <v>Chart 2a. Racial composition of North Bonneville and Skamania County, 2020</v>
      </c>
      <c r="E91" s="7" t="s">
        <v>2697</v>
      </c>
    </row>
    <row r="92" spans="2:5">
      <c r="B92" s="7" t="str">
        <f>'Racial Composition'!C138</f>
        <v>Chart 3. Racial composition of North Bonneville and Skamania County, 2015 and 2020</v>
      </c>
      <c r="E92" s="7" t="s">
        <v>2697</v>
      </c>
    </row>
    <row r="93" spans="2:5">
      <c r="B93" s="7" t="str">
        <f>'Cost Burden'!C29</f>
        <v>Chart 4. North Bonneville total housing cost burden by racial and ethnic group, 2019</v>
      </c>
      <c r="E93" s="7" t="s">
        <v>2804</v>
      </c>
    </row>
    <row r="94" spans="2:5">
      <c r="B94" s="7" t="str">
        <f>'Cost Burden'!C53</f>
        <v>Chart 4a. North Bonneville total housing cost burden by racial and ethnic group, 2019</v>
      </c>
      <c r="E94" s="7" t="s">
        <v>2804</v>
      </c>
    </row>
    <row r="95" spans="2:5">
      <c r="B95" s="7" t="str">
        <f>'Cost Burden'!C76</f>
        <v>Chart 5. North Bonneville number of owner households by race and cost burden, 2019</v>
      </c>
      <c r="E95" s="7" t="s">
        <v>2804</v>
      </c>
    </row>
    <row r="96" spans="2:5">
      <c r="B96" s="7" t="str">
        <f>'Cost Burden'!C100</f>
        <v>Chart 5a. North Bonneville number of owner households by race and cost burden, 2019</v>
      </c>
      <c r="E96" s="7" t="s">
        <v>2804</v>
      </c>
    </row>
    <row r="97" spans="2:5">
      <c r="B97" s="7" t="str">
        <f>'Cost Burden'!C124</f>
        <v>Chart 6. North Bonneville renter households by race and cost burden, 2019</v>
      </c>
      <c r="E97" s="7" t="s">
        <v>2804</v>
      </c>
    </row>
    <row r="98" spans="2:5">
      <c r="B98" s="7" t="str">
        <f>'Cost Burden'!C148</f>
        <v>Chart 6a. North Bonneville renter households by race and cost burden, 2019</v>
      </c>
      <c r="E98" s="7" t="s">
        <v>2804</v>
      </c>
    </row>
    <row r="99" spans="2:5">
      <c r="B99" s="7" t="str">
        <f>'Cost Burden'!C202</f>
        <v>Chart 7. North Bonneville percent of all households experiencing housing cost burden, 2019</v>
      </c>
      <c r="E99" s="7" t="s">
        <v>2804</v>
      </c>
    </row>
    <row r="100" spans="2:5">
      <c r="B100" s="7" t="str">
        <f>'Cost Burden'!C228</f>
        <v>Chart 7a. North Bonneville percent of all households experiencing housing cost burden, 2019</v>
      </c>
      <c r="E100" s="7" t="s">
        <v>2804</v>
      </c>
    </row>
    <row r="101" spans="2:5">
      <c r="B101" s="7" t="str">
        <f>'Cost Burden'!C246</f>
        <v>Chart 8. North Bonneville percent owner households experiencing housing cost burden, 2019</v>
      </c>
      <c r="E101" s="7" t="s">
        <v>2804</v>
      </c>
    </row>
    <row r="102" spans="2:5">
      <c r="B102" s="7" t="str">
        <f>'Cost Burden'!C272</f>
        <v>Chart 8a. North Bonneville percent owner households experiencing housing cost burden, 2019</v>
      </c>
      <c r="E102" s="7" t="s">
        <v>2804</v>
      </c>
    </row>
    <row r="103" spans="2:5">
      <c r="B103" s="7" t="str">
        <f>'Cost Burden'!C291</f>
        <v>Chart 9. North Bonneville percent renter households experiencing housing cost burden, 2019</v>
      </c>
      <c r="E103" s="7" t="s">
        <v>2804</v>
      </c>
    </row>
    <row r="104" spans="2:5">
      <c r="B104" s="7" t="str">
        <f>'Cost Burden'!C317</f>
        <v>Chart 9a. North Bonneville percent renter households experiencing housing cost burden, 2019</v>
      </c>
      <c r="E104" s="7" t="s">
        <v>2804</v>
      </c>
    </row>
    <row r="105" spans="2:5">
      <c r="B105" s="7" t="str">
        <f>'Rental Affordability'!C20</f>
        <v>Chart 10. North Bonneville and Skamania County renter household income compared to rental unit affordability, 2019</v>
      </c>
      <c r="E105" s="7" t="s">
        <v>1266</v>
      </c>
    </row>
    <row r="106" spans="2:5">
      <c r="B106" s="7" t="str">
        <f>'Rental Affordability'!C45</f>
        <v>Chart 11. North Bonneville renter households by income compared to rental units by affordability, 2019</v>
      </c>
      <c r="E106" s="7" t="s">
        <v>1266</v>
      </c>
    </row>
    <row r="107" spans="2:5">
      <c r="B107" s="7" t="str">
        <f>'Rental Affordability'!C78</f>
        <v>Chart 12. North Bonneville five year change in renter households by income and rental units by affordability, 2014 - 2019</v>
      </c>
      <c r="E107" s="7" t="s">
        <v>1266</v>
      </c>
    </row>
    <row r="108" spans="2:5">
      <c r="B108" s="7" t="str">
        <f>Income!B31</f>
        <v>Chart 13. North Bonneville number of households by income category and race, 2019</v>
      </c>
      <c r="E108" s="7" t="s">
        <v>2662</v>
      </c>
    </row>
    <row r="109" spans="2:5">
      <c r="B109" s="7" t="str">
        <f>Income!B55</f>
        <v>Chart 13a. North Bonneville number of households by income category and race, 2019</v>
      </c>
      <c r="E109" s="7" t="s">
        <v>2662</v>
      </c>
    </row>
    <row r="110" spans="2:5">
      <c r="B110" s="7" t="str">
        <f>Income!B78</f>
        <v>Chart 14. North Bonneville distribution of households by income and race or ethnicity, 2019</v>
      </c>
      <c r="E110" s="7" t="s">
        <v>2662</v>
      </c>
    </row>
    <row r="111" spans="2:5">
      <c r="B111" s="7" t="str">
        <f>Income!B100</f>
        <v>Chart 14a. North Bonneville distribution of households by income and race or ethnicity, 2019</v>
      </c>
      <c r="E111" s="7" t="s">
        <v>2662</v>
      </c>
    </row>
    <row r="112" spans="2:5">
      <c r="B112" s="7" t="str">
        <f>Income!B172</f>
        <v>Chart 15. North Bonneville percentage of all households by income category and race, (2010 - 2014 vs 2015 - 2019)</v>
      </c>
      <c r="E112" s="7" t="s">
        <v>2662</v>
      </c>
    </row>
    <row r="113" spans="2:5">
      <c r="B113" s="7" t="str">
        <f>Tenure!B22</f>
        <v>Chart 16. North Bonneville total number of owner and renter households by race and ethnicity, 2019</v>
      </c>
      <c r="E113" s="7" t="s">
        <v>0</v>
      </c>
    </row>
    <row r="114" spans="2:5">
      <c r="B114" s="7" t="str">
        <f>Tenure!B47</f>
        <v>Chart 16a. North Bonneville total number of owner and renter households by race and ethnicity, 2019</v>
      </c>
      <c r="E114" s="7" t="s">
        <v>0</v>
      </c>
    </row>
    <row r="115" spans="2:5">
      <c r="B115" s="7" t="str">
        <f>Tenure!B69</f>
        <v xml:space="preserve">Chart 17. North Bonneville percent owner and renter households by race and ethnicity, 2019 </v>
      </c>
      <c r="E115" s="7" t="s">
        <v>0</v>
      </c>
    </row>
    <row r="116" spans="2:5">
      <c r="B116" s="7" t="str">
        <f>Tenure!B95</f>
        <v xml:space="preserve">Chart 17a. North Bonneville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North Bonneville and Skamania County, 2015 and 2020</v>
      </c>
      <c r="D5" s="301"/>
      <c r="E5" s="301"/>
      <c r="F5" s="301"/>
      <c r="G5" s="301"/>
      <c r="H5" s="301"/>
      <c r="I5" s="301"/>
      <c r="J5" s="301"/>
      <c r="K5" s="301"/>
      <c r="L5" s="301"/>
      <c r="M5" s="301"/>
      <c r="AA5" s="16" t="s">
        <v>2702</v>
      </c>
      <c r="AB5" s="304" t="str">
        <f>City</f>
        <v>North Bonneville city, Washington</v>
      </c>
      <c r="AC5" s="304"/>
      <c r="AM5" s="32"/>
    </row>
    <row r="6" spans="3:51" ht="15.75">
      <c r="C6" s="301"/>
      <c r="D6" s="301"/>
      <c r="E6" s="301"/>
      <c r="F6" s="301"/>
      <c r="G6" s="301"/>
      <c r="H6" s="301"/>
      <c r="I6" s="301"/>
      <c r="J6" s="301"/>
      <c r="K6" s="301"/>
      <c r="L6" s="301"/>
      <c r="M6" s="301"/>
      <c r="AA6" s="16" t="s">
        <v>2703</v>
      </c>
      <c r="AB6" s="304" t="str">
        <f>County</f>
        <v>Skamania County, Washington</v>
      </c>
      <c r="AC6" s="304"/>
      <c r="AL6" s="32"/>
    </row>
    <row r="7" spans="3:51" ht="15" thickBot="1"/>
    <row r="8" spans="3:51">
      <c r="C8" s="64"/>
      <c r="D8" s="64"/>
      <c r="E8" s="64"/>
      <c r="F8" s="64"/>
      <c r="G8" s="65" t="str">
        <f>City_label</f>
        <v>North Bonneville</v>
      </c>
      <c r="H8" s="65"/>
      <c r="I8" s="64"/>
      <c r="J8" s="64"/>
      <c r="K8" s="65" t="str">
        <f>County_label</f>
        <v>Skamania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0</v>
      </c>
      <c r="I10" s="69">
        <f t="shared" ref="I10:I17" si="0">H10-G10</f>
        <v>0</v>
      </c>
      <c r="J10" s="29"/>
      <c r="K10" s="69">
        <f>AK15</f>
        <v>233</v>
      </c>
      <c r="L10" s="69">
        <f>AL15</f>
        <v>214</v>
      </c>
      <c r="M10" s="69">
        <f t="shared" ref="M10:M17" si="1">L10-K10</f>
        <v>-19</v>
      </c>
      <c r="AE10" s="36" t="str">
        <f>City_label</f>
        <v>North Bonneville</v>
      </c>
      <c r="AF10" s="36" t="str">
        <f>City_label</f>
        <v>North Bonneville</v>
      </c>
      <c r="AG10" s="36" t="str">
        <f>City_label</f>
        <v>North Bonneville</v>
      </c>
      <c r="AH10" s="36" t="str">
        <f>City_label</f>
        <v>North Bonneville</v>
      </c>
      <c r="AI10" s="36" t="str">
        <f>City_label</f>
        <v>North Bonneville</v>
      </c>
      <c r="AK10" s="36" t="str">
        <f>County_label</f>
        <v>Skamania County</v>
      </c>
      <c r="AL10" s="36" t="str">
        <f>County_label</f>
        <v>Skamania County</v>
      </c>
      <c r="AM10" s="36" t="str">
        <f>County_label</f>
        <v>Skamania County</v>
      </c>
      <c r="AN10" s="36" t="str">
        <f>County_label</f>
        <v>Skamania County</v>
      </c>
      <c r="AP10" s="36"/>
    </row>
    <row r="11" spans="3:51" ht="15">
      <c r="C11" s="29" t="str">
        <f>AC16</f>
        <v>Asian</v>
      </c>
      <c r="D11" s="29"/>
      <c r="E11" s="29"/>
      <c r="F11" s="29"/>
      <c r="G11" s="69">
        <f>AE16</f>
        <v>0</v>
      </c>
      <c r="H11" s="69">
        <f>AF16</f>
        <v>8</v>
      </c>
      <c r="I11" s="69">
        <f t="shared" si="0"/>
        <v>8</v>
      </c>
      <c r="J11" s="29"/>
      <c r="K11" s="69">
        <f>AK16</f>
        <v>110</v>
      </c>
      <c r="L11" s="69">
        <f>AL16</f>
        <v>158</v>
      </c>
      <c r="M11" s="69">
        <f t="shared" si="1"/>
        <v>48</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18</v>
      </c>
      <c r="H12" s="69">
        <f>AF14</f>
        <v>0</v>
      </c>
      <c r="I12" s="69">
        <f t="shared" si="0"/>
        <v>-18</v>
      </c>
      <c r="J12" s="29"/>
      <c r="K12" s="69">
        <f>AK14</f>
        <v>95</v>
      </c>
      <c r="L12" s="69">
        <f>AL14</f>
        <v>56</v>
      </c>
      <c r="M12" s="69">
        <f t="shared" si="1"/>
        <v>-39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v>
      </c>
      <c r="H13" s="69">
        <f>AF20</f>
        <v>74</v>
      </c>
      <c r="I13" s="69">
        <f t="shared" si="0"/>
        <v>70</v>
      </c>
      <c r="J13" s="29"/>
      <c r="K13" s="69">
        <f>AK20</f>
        <v>642</v>
      </c>
      <c r="L13" s="69">
        <f>AL20</f>
        <v>785</v>
      </c>
      <c r="M13" s="69">
        <f t="shared" si="1"/>
        <v>143</v>
      </c>
      <c r="AA13" s="112" t="s">
        <v>2493</v>
      </c>
      <c r="AB13" s="112" t="s">
        <v>2483</v>
      </c>
      <c r="AC13" t="s">
        <v>2672</v>
      </c>
      <c r="AE13" s="1">
        <v>1262</v>
      </c>
      <c r="AF13" s="1">
        <v>881</v>
      </c>
      <c r="AG13" s="6">
        <f t="shared" ref="AG13:AH20" si="2">AE13/AE$21</f>
        <v>0.95823842065299925</v>
      </c>
      <c r="AH13" s="6">
        <f t="shared" si="2"/>
        <v>0.88542713567839193</v>
      </c>
      <c r="AI13" t="str">
        <f t="shared" ref="AI13:AI20" si="3">TEXT(AF13,"#,##0")&amp;CHAR(10)&amp;"("&amp;TEXT(AH13,"0%"&amp;")")</f>
        <v>881
(89%)</v>
      </c>
      <c r="AK13" s="1">
        <v>9931</v>
      </c>
      <c r="AL13" s="1">
        <v>10381</v>
      </c>
      <c r="AM13" s="6">
        <f t="shared" ref="AM13:AM20" si="4">AK13/$AK$21</f>
        <v>0.88330516765987721</v>
      </c>
      <c r="AN13" s="6">
        <f t="shared" ref="AN13:AN20" si="5">AL13/AL$21</f>
        <v>0.8719133210146145</v>
      </c>
      <c r="AP13" s="6"/>
      <c r="AU13" s="38"/>
      <c r="AV13" s="38"/>
      <c r="AX13" s="6"/>
      <c r="AY13" s="6"/>
    </row>
    <row r="14" spans="3:51">
      <c r="C14" s="29" t="str">
        <f>AC17</f>
        <v>Native Hawaiian and Other Pacific Islander</v>
      </c>
      <c r="D14" s="29"/>
      <c r="E14" s="29"/>
      <c r="F14" s="29"/>
      <c r="G14" s="69">
        <f t="shared" ref="G14:H16" si="6">AE17</f>
        <v>29</v>
      </c>
      <c r="H14" s="69">
        <f t="shared" si="6"/>
        <v>6</v>
      </c>
      <c r="I14" s="69">
        <f t="shared" si="0"/>
        <v>-23</v>
      </c>
      <c r="J14" s="29"/>
      <c r="K14" s="69">
        <f t="shared" ref="K14:L16" si="7">AK17</f>
        <v>35</v>
      </c>
      <c r="L14" s="69">
        <f t="shared" si="7"/>
        <v>30</v>
      </c>
      <c r="M14" s="69">
        <f t="shared" si="1"/>
        <v>-5</v>
      </c>
      <c r="AA14" s="112" t="s">
        <v>2491</v>
      </c>
      <c r="AB14" s="112" t="s">
        <v>2481</v>
      </c>
      <c r="AC14" t="s">
        <v>2673</v>
      </c>
      <c r="AE14" s="1">
        <v>18</v>
      </c>
      <c r="AF14" s="1">
        <v>0</v>
      </c>
      <c r="AG14" s="6">
        <f t="shared" si="2"/>
        <v>1.366742596810934E-2</v>
      </c>
      <c r="AH14" s="6">
        <f t="shared" si="2"/>
        <v>0</v>
      </c>
      <c r="AI14" t="str">
        <f t="shared" si="3"/>
        <v>0
(0%)</v>
      </c>
      <c r="AK14" s="1">
        <v>95</v>
      </c>
      <c r="AL14" s="1">
        <v>56</v>
      </c>
      <c r="AM14" s="6">
        <f t="shared" si="4"/>
        <v>8.4497020368229127E-3</v>
      </c>
      <c r="AN14" s="6">
        <f t="shared" si="5"/>
        <v>4.7035108348731734E-3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24</v>
      </c>
      <c r="L15" s="69">
        <f t="shared" si="7"/>
        <v>2</v>
      </c>
      <c r="M15" s="69">
        <f t="shared" si="1"/>
        <v>-22</v>
      </c>
      <c r="AA15" s="112" t="s">
        <v>2489</v>
      </c>
      <c r="AB15" s="112" t="s">
        <v>2479</v>
      </c>
      <c r="AC15" t="s">
        <v>2674</v>
      </c>
      <c r="AE15" s="1">
        <v>0</v>
      </c>
      <c r="AF15" s="1">
        <v>0</v>
      </c>
      <c r="AG15" s="6">
        <f t="shared" si="2"/>
        <v>0</v>
      </c>
      <c r="AH15" s="6">
        <f t="shared" si="2"/>
        <v>0</v>
      </c>
      <c r="AI15" t="str">
        <f t="shared" si="3"/>
        <v>0
(0%)</v>
      </c>
      <c r="AK15" s="1">
        <v>233</v>
      </c>
      <c r="AL15" s="1">
        <v>214</v>
      </c>
      <c r="AM15" s="6">
        <f t="shared" si="4"/>
        <v>2.0724006048207774E-2</v>
      </c>
      <c r="AN15" s="6">
        <f t="shared" si="5"/>
        <v>1.7974130690408197E-2</v>
      </c>
      <c r="AP15" s="6"/>
      <c r="AU15" s="38"/>
      <c r="AV15" s="38"/>
      <c r="AX15" s="6"/>
      <c r="AY15" s="6"/>
    </row>
    <row r="16" spans="3:51">
      <c r="C16" s="29" t="str">
        <f>AC19</f>
        <v>Two or more races</v>
      </c>
      <c r="D16" s="29"/>
      <c r="E16" s="29"/>
      <c r="F16" s="29"/>
      <c r="G16" s="69">
        <f t="shared" si="6"/>
        <v>4</v>
      </c>
      <c r="H16" s="69">
        <f t="shared" si="6"/>
        <v>26</v>
      </c>
      <c r="I16" s="69">
        <f t="shared" si="0"/>
        <v>22</v>
      </c>
      <c r="J16" s="29"/>
      <c r="K16" s="69">
        <f t="shared" si="7"/>
        <v>173</v>
      </c>
      <c r="L16" s="69">
        <f t="shared" si="7"/>
        <v>280</v>
      </c>
      <c r="M16" s="69">
        <f t="shared" si="1"/>
        <v>107</v>
      </c>
      <c r="AA16" s="112" t="s">
        <v>2487</v>
      </c>
      <c r="AB16" s="112" t="s">
        <v>2477</v>
      </c>
      <c r="AC16" t="s">
        <v>2666</v>
      </c>
      <c r="AE16" s="1">
        <v>0</v>
      </c>
      <c r="AF16" s="1">
        <v>8</v>
      </c>
      <c r="AG16" s="6">
        <f t="shared" si="2"/>
        <v>0</v>
      </c>
      <c r="AH16" s="6">
        <f t="shared" si="2"/>
        <v>8.0402010050251264E-3</v>
      </c>
      <c r="AI16" t="str">
        <f t="shared" si="3"/>
        <v>8
(1%)</v>
      </c>
      <c r="AK16" s="1">
        <v>110</v>
      </c>
      <c r="AL16" s="1">
        <v>158</v>
      </c>
      <c r="AM16" s="6">
        <f t="shared" si="4"/>
        <v>9.7838655163212662E-3</v>
      </c>
      <c r="AN16" s="6">
        <f t="shared" si="5"/>
        <v>1.3270619855535024E-2</v>
      </c>
      <c r="AP16" s="6"/>
      <c r="AU16" s="38"/>
      <c r="AV16" s="38"/>
      <c r="AX16" s="6"/>
      <c r="AY16" s="6"/>
    </row>
    <row r="17" spans="3:51">
      <c r="C17" s="29" t="str">
        <f>AC13</f>
        <v>White</v>
      </c>
      <c r="D17" s="29"/>
      <c r="E17" s="29"/>
      <c r="F17" s="29"/>
      <c r="G17" s="69">
        <f>AE13</f>
        <v>1262</v>
      </c>
      <c r="H17" s="69">
        <f>AF13</f>
        <v>881</v>
      </c>
      <c r="I17" s="69">
        <f t="shared" si="0"/>
        <v>-381</v>
      </c>
      <c r="J17" s="29"/>
      <c r="K17" s="69">
        <f>AK13</f>
        <v>9931</v>
      </c>
      <c r="L17" s="69">
        <f>AL13</f>
        <v>10381</v>
      </c>
      <c r="M17" s="69">
        <f t="shared" si="1"/>
        <v>450</v>
      </c>
      <c r="AA17" s="112" t="s">
        <v>2485</v>
      </c>
      <c r="AB17" s="112" t="s">
        <v>2475</v>
      </c>
      <c r="AC17" t="s">
        <v>2675</v>
      </c>
      <c r="AE17" s="1">
        <v>29</v>
      </c>
      <c r="AF17" s="1">
        <v>6</v>
      </c>
      <c r="AG17" s="6">
        <f t="shared" si="2"/>
        <v>2.2019741837509491E-2</v>
      </c>
      <c r="AH17" s="6">
        <f t="shared" si="2"/>
        <v>6.030150753768844E-3</v>
      </c>
      <c r="AI17" t="str">
        <f t="shared" si="3"/>
        <v>6
(1%)</v>
      </c>
      <c r="AK17" s="1">
        <v>35</v>
      </c>
      <c r="AL17" s="1">
        <v>30</v>
      </c>
      <c r="AM17" s="6">
        <f t="shared" si="4"/>
        <v>3.1130481188294938E-3</v>
      </c>
      <c r="AN17" s="6">
        <f t="shared" si="5"/>
        <v>2.5197379472534855E-3</v>
      </c>
      <c r="AP17" s="6"/>
      <c r="AU17" s="38"/>
      <c r="AV17" s="38"/>
      <c r="AX17" s="6"/>
      <c r="AY17" s="6"/>
    </row>
    <row r="18" spans="3:51">
      <c r="C18" s="66"/>
      <c r="D18" s="66"/>
      <c r="E18" s="66"/>
      <c r="F18" s="66" t="s">
        <v>1</v>
      </c>
      <c r="G18" s="72">
        <f>SUM(G10:G17)</f>
        <v>1317</v>
      </c>
      <c r="H18" s="72">
        <f>SUM(H10:H17)</f>
        <v>995</v>
      </c>
      <c r="I18" s="72">
        <f>SUM(I10:I17)</f>
        <v>-322</v>
      </c>
      <c r="J18" s="70"/>
      <c r="K18" s="72">
        <f>SUM(K10:K17)</f>
        <v>11243</v>
      </c>
      <c r="L18" s="72">
        <f t="shared" ref="L18:M18" si="8">SUM(L10:L17)</f>
        <v>11906</v>
      </c>
      <c r="M18" s="72">
        <f t="shared" si="8"/>
        <v>663</v>
      </c>
      <c r="AA18" s="112" t="s">
        <v>2483</v>
      </c>
      <c r="AB18" s="112" t="s">
        <v>2473</v>
      </c>
      <c r="AC18" t="s">
        <v>2706</v>
      </c>
      <c r="AE18" s="1">
        <v>0</v>
      </c>
      <c r="AF18" s="1">
        <v>0</v>
      </c>
      <c r="AG18" s="6">
        <f t="shared" si="2"/>
        <v>0</v>
      </c>
      <c r="AH18" s="6">
        <f t="shared" si="2"/>
        <v>0</v>
      </c>
      <c r="AI18" t="str">
        <f t="shared" si="3"/>
        <v>0
(0%)</v>
      </c>
      <c r="AK18" s="1">
        <v>24</v>
      </c>
      <c r="AL18" s="1">
        <v>2</v>
      </c>
      <c r="AM18" s="6">
        <f t="shared" si="4"/>
        <v>2.1346615671973671E-3</v>
      </c>
      <c r="AN18" s="6">
        <f t="shared" si="5"/>
        <v>1.6798252981689904E-4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v>
      </c>
      <c r="AF19" s="1">
        <v>26</v>
      </c>
      <c r="AG19" s="6">
        <f t="shared" si="2"/>
        <v>3.0372057706909645E-3</v>
      </c>
      <c r="AH19" s="6">
        <f t="shared" si="2"/>
        <v>2.6130653266331658E-2</v>
      </c>
      <c r="AI19" t="str">
        <f t="shared" si="3"/>
        <v>26
(3%)</v>
      </c>
      <c r="AK19" s="1">
        <v>173</v>
      </c>
      <c r="AL19" s="1">
        <v>280</v>
      </c>
      <c r="AM19" s="6">
        <f t="shared" si="4"/>
        <v>1.5387352130214355E-2</v>
      </c>
      <c r="AN19" s="6">
        <f t="shared" si="5"/>
        <v>2.3517554174365865E-2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v>
      </c>
      <c r="AF20" s="1">
        <v>74</v>
      </c>
      <c r="AG20" s="6">
        <f t="shared" si="2"/>
        <v>3.0372057706909645E-3</v>
      </c>
      <c r="AH20" s="6">
        <f t="shared" si="2"/>
        <v>7.4371859296482407E-2</v>
      </c>
      <c r="AI20" t="str">
        <f t="shared" si="3"/>
        <v>74
(7%)</v>
      </c>
      <c r="AK20" s="1">
        <v>642</v>
      </c>
      <c r="AL20" s="1">
        <v>785</v>
      </c>
      <c r="AM20" s="6">
        <f t="shared" si="4"/>
        <v>5.7102196922529574E-2</v>
      </c>
      <c r="AN20" s="6">
        <f t="shared" si="5"/>
        <v>6.5933142953132878E-2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1317</v>
      </c>
      <c r="AF21" s="3">
        <v>995</v>
      </c>
      <c r="AK21" s="2">
        <v>11243</v>
      </c>
      <c r="AL21" s="2">
        <v>11906</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North Bonneville</v>
      </c>
      <c r="AH24" s="16" t="str">
        <f>City_label</f>
        <v>North Bonneville</v>
      </c>
      <c r="AK24" s="297" t="str">
        <f>County_label</f>
        <v>Skamania County</v>
      </c>
      <c r="AL24" s="297"/>
      <c r="AM24" s="297" t="str">
        <f>County_label</f>
        <v>Skamania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8</v>
      </c>
      <c r="AG26" s="6">
        <f>AE26/$AE$31</f>
        <v>0</v>
      </c>
      <c r="AH26" s="6">
        <f>AF26/$AF$31</f>
        <v>8.0402010050251264E-3</v>
      </c>
      <c r="AI26" t="str">
        <f>TEXT(AF26,"#,##0")&amp;CHAR(10)&amp;"("&amp;TEXT(AH26,"0%"&amp;")")</f>
        <v>8
(1%)</v>
      </c>
      <c r="AK26" s="5">
        <f>AK16</f>
        <v>110</v>
      </c>
      <c r="AL26" s="5">
        <f>AL16</f>
        <v>158</v>
      </c>
      <c r="AM26" s="6">
        <f>AK26/$AK$31</f>
        <v>9.7838655163212662E-3</v>
      </c>
      <c r="AN26" s="6">
        <f>AL26/$AL$31</f>
        <v>1.3270619855535024E-2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18</v>
      </c>
      <c r="AF27" s="5">
        <f>AF14</f>
        <v>0</v>
      </c>
      <c r="AG27" s="6">
        <f>AE27/$AE$31</f>
        <v>1.366742596810934E-2</v>
      </c>
      <c r="AH27" s="6">
        <f>AF27/$AF$31</f>
        <v>0</v>
      </c>
      <c r="AI27" t="str">
        <f>TEXT(AF27,"#,##0")&amp;CHAR(10)&amp;"("&amp;TEXT(AH27,"0%"&amp;")")</f>
        <v>0
(0%)</v>
      </c>
      <c r="AK27" s="5">
        <f>AK14</f>
        <v>95</v>
      </c>
      <c r="AL27" s="5">
        <f>AL14</f>
        <v>56</v>
      </c>
      <c r="AM27" s="6">
        <f>AK27/$AK$31</f>
        <v>8.4497020368229127E-3</v>
      </c>
      <c r="AN27" s="6">
        <f>AL27/$AL$31</f>
        <v>4.7035108348731734E-3</v>
      </c>
    </row>
    <row r="28" spans="3:51">
      <c r="C28" s="50"/>
      <c r="D28" s="50"/>
      <c r="E28" s="50"/>
      <c r="F28" s="50"/>
      <c r="G28" s="50"/>
      <c r="H28" s="50"/>
      <c r="I28" s="50"/>
      <c r="J28" s="50"/>
      <c r="K28" s="50"/>
      <c r="AC28" t="s">
        <v>2790</v>
      </c>
      <c r="AE28" s="5">
        <f>AE20</f>
        <v>4</v>
      </c>
      <c r="AF28" s="5">
        <f>AF20</f>
        <v>74</v>
      </c>
      <c r="AG28" s="6">
        <f>AE28/$AE$31</f>
        <v>3.0372057706909645E-3</v>
      </c>
      <c r="AH28" s="6">
        <f>AF28/$AF$31</f>
        <v>7.4371859296482407E-2</v>
      </c>
      <c r="AI28" t="str">
        <f>TEXT(AF28,"#,##0")&amp;CHAR(10)&amp;"("&amp;TEXT(AH28,"0%"&amp;")")</f>
        <v>74
(7%)</v>
      </c>
      <c r="AK28" s="5">
        <f>AK20</f>
        <v>642</v>
      </c>
      <c r="AL28" s="5">
        <f>AL20</f>
        <v>785</v>
      </c>
      <c r="AM28" s="6">
        <f>AK28/$AK$31</f>
        <v>5.7102196922529574E-2</v>
      </c>
      <c r="AN28" s="6">
        <f>AL28/$AL$31</f>
        <v>6.5933142953132878E-2</v>
      </c>
    </row>
    <row r="29" spans="3:51" ht="18" customHeight="1">
      <c r="C29" s="301" t="str">
        <f>"Chart 1. "&amp; City_label &amp; " population by race and Hispanic or Latino ethnicity, 2020"</f>
        <v>Chart 1. North Bonneville population by race and Hispanic or Latino ethnicity, 2020</v>
      </c>
      <c r="D29" s="301"/>
      <c r="E29" s="301"/>
      <c r="F29" s="301"/>
      <c r="G29" s="301"/>
      <c r="H29" s="301"/>
      <c r="I29" s="301"/>
      <c r="J29" s="301"/>
      <c r="K29" s="301"/>
      <c r="L29" s="301"/>
      <c r="M29" s="301"/>
      <c r="AC29" t="s">
        <v>2706</v>
      </c>
      <c r="AE29" s="5">
        <f>SUM(AE15,AE17,AE18,AE19)</f>
        <v>33</v>
      </c>
      <c r="AF29" s="5">
        <f>SUM(AF15,AF17,AF18,AF19)</f>
        <v>32</v>
      </c>
      <c r="AG29" s="6">
        <f>AE29/$AE$31</f>
        <v>2.5056947608200455E-2</v>
      </c>
      <c r="AH29" s="6">
        <f>AF29/$AF$31</f>
        <v>3.2160804020100506E-2</v>
      </c>
      <c r="AI29" t="str">
        <f>TEXT(AF29,"#,##0")&amp;CHAR(10)&amp;"("&amp;TEXT(AH29,"0%"&amp;")")</f>
        <v>32
(3%)</v>
      </c>
      <c r="AK29" s="5">
        <f>SUM(AK15,AK17,AK18,AK19)</f>
        <v>465</v>
      </c>
      <c r="AL29" s="5">
        <f>SUM(AL15,AL17,AL18,AL19)</f>
        <v>526</v>
      </c>
      <c r="AM29" s="6">
        <f>AK29/$AK$31</f>
        <v>4.1359067864448991E-2</v>
      </c>
      <c r="AN29" s="6">
        <f>AL29/$AL$31</f>
        <v>4.4179405341844447E-2</v>
      </c>
    </row>
    <row r="30" spans="3:51" ht="18" customHeight="1">
      <c r="C30" s="301"/>
      <c r="D30" s="301"/>
      <c r="E30" s="301"/>
      <c r="F30" s="301"/>
      <c r="G30" s="301"/>
      <c r="H30" s="301"/>
      <c r="I30" s="301"/>
      <c r="J30" s="301"/>
      <c r="K30" s="301"/>
      <c r="L30" s="301"/>
      <c r="M30" s="301"/>
      <c r="AC30" t="s">
        <v>2672</v>
      </c>
      <c r="AE30" s="5">
        <f>AE13</f>
        <v>1262</v>
      </c>
      <c r="AF30" s="5">
        <f>AF13</f>
        <v>881</v>
      </c>
      <c r="AG30" s="6">
        <f>AE30/$AE$31</f>
        <v>0.95823842065299925</v>
      </c>
      <c r="AH30" s="6">
        <f>AF30/$AF$31</f>
        <v>0.88542713567839193</v>
      </c>
      <c r="AI30" t="str">
        <f>TEXT(AF30,"#,##0")&amp;CHAR(10)&amp;"("&amp;TEXT(AH30,"0%"&amp;")")</f>
        <v>881
(89%)</v>
      </c>
      <c r="AK30" s="5">
        <f>AK13</f>
        <v>9931</v>
      </c>
      <c r="AL30" s="5">
        <f>AL13</f>
        <v>10381</v>
      </c>
      <c r="AM30" s="6">
        <f>AK30/$AK$31</f>
        <v>0.88330516765987721</v>
      </c>
      <c r="AN30" s="6">
        <f>AL30/$AL$31</f>
        <v>0.8719133210146145</v>
      </c>
    </row>
    <row r="31" spans="3:51" ht="15">
      <c r="AC31" t="s">
        <v>2667</v>
      </c>
      <c r="AE31" s="37">
        <f>SUM(AE26:AE30)</f>
        <v>1317</v>
      </c>
      <c r="AF31" s="37">
        <f>SUM(AF26:AF30)</f>
        <v>995</v>
      </c>
      <c r="AK31" s="37">
        <f>SUM(AK26:AK30)</f>
        <v>11243</v>
      </c>
      <c r="AL31" s="37">
        <f>SUM(AL26:AL30)</f>
        <v>11906</v>
      </c>
    </row>
    <row r="32" spans="3:51" ht="15">
      <c r="C32" s="16"/>
    </row>
    <row r="33" spans="27:40">
      <c r="AE33" s="5"/>
      <c r="AF33" s="5"/>
      <c r="AG33" s="6"/>
      <c r="AH33" s="6"/>
      <c r="AK33" s="5"/>
      <c r="AL33" s="5"/>
      <c r="AM33" s="6"/>
      <c r="AN33" s="6"/>
    </row>
    <row r="35" spans="27:40" ht="15">
      <c r="AF35" s="47" t="str">
        <f>City_label</f>
        <v>North Bonneville</v>
      </c>
      <c r="AG35" s="297" t="str">
        <f>City_label</f>
        <v>North Bonneville</v>
      </c>
      <c r="AH35" s="297"/>
      <c r="AL35" s="16" t="str">
        <f>County_label</f>
        <v>Skamania County</v>
      </c>
      <c r="AM35" s="297" t="str">
        <f>County_label</f>
        <v>Skamania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v>
      </c>
      <c r="AF37" s="5">
        <f>AF20</f>
        <v>74</v>
      </c>
      <c r="AG37" s="6">
        <f>AG20</f>
        <v>3.0372057706909645E-3</v>
      </c>
      <c r="AH37" s="6">
        <f>AH20</f>
        <v>7.4371859296482407E-2</v>
      </c>
      <c r="AI37" t="str">
        <f>TEXT(AF37,"#,##0")&amp;CHAR(10)&amp;"("&amp;TEXT(AH37,"0%"&amp;")")</f>
        <v>74
(7%)</v>
      </c>
      <c r="AK37" s="5">
        <f>AK20</f>
        <v>642</v>
      </c>
      <c r="AL37" s="5">
        <f>AL20</f>
        <v>785</v>
      </c>
      <c r="AM37" s="6">
        <f>AM20</f>
        <v>5.7102196922529574E-2</v>
      </c>
      <c r="AN37" s="6">
        <f>AN20</f>
        <v>6.5933142953132878E-2</v>
      </c>
    </row>
    <row r="38" spans="27:40">
      <c r="AC38" t="s">
        <v>2739</v>
      </c>
      <c r="AE38" s="5">
        <f>SUM(AE14:AE19)</f>
        <v>51</v>
      </c>
      <c r="AF38" s="5">
        <f>SUM(AF14:AF19)</f>
        <v>40</v>
      </c>
      <c r="AG38" s="6">
        <f>SUM(AG14:AG19)</f>
        <v>3.8724373576309791E-2</v>
      </c>
      <c r="AH38" s="6">
        <f>SUM(AH14:AH19)</f>
        <v>4.0201005025125629E-2</v>
      </c>
      <c r="AI38" t="str">
        <f>TEXT(AF38,"#,##0")&amp;CHAR(10)&amp;"("&amp;TEXT(AH38,"0%"&amp;")")</f>
        <v>40
(4%)</v>
      </c>
      <c r="AK38" s="5">
        <f>SUM(AK14:AK19)</f>
        <v>670</v>
      </c>
      <c r="AL38" s="5">
        <f>SUM(AL14:AL19)</f>
        <v>740</v>
      </c>
      <c r="AM38" s="6">
        <f>SUM(AM14:AM19)</f>
        <v>5.9592635417593166E-2</v>
      </c>
      <c r="AN38" s="6">
        <f>SUM(AN14:AN19)</f>
        <v>6.215353603225264E-2</v>
      </c>
    </row>
    <row r="39" spans="27:40">
      <c r="AC39" t="s">
        <v>2672</v>
      </c>
      <c r="AE39" s="5">
        <f>AE13</f>
        <v>1262</v>
      </c>
      <c r="AF39" s="5">
        <f>AF13</f>
        <v>881</v>
      </c>
      <c r="AG39" s="6">
        <f>AG13</f>
        <v>0.95823842065299925</v>
      </c>
      <c r="AH39" s="6">
        <f>AH13</f>
        <v>0.88542713567839193</v>
      </c>
      <c r="AI39" t="str">
        <f>TEXT(AF39,"#,##0")&amp;CHAR(10)&amp;"("&amp;TEXT(AH39,"0%"&amp;")")</f>
        <v>881
(89%)</v>
      </c>
      <c r="AK39" s="5">
        <f>AK13</f>
        <v>9931</v>
      </c>
      <c r="AL39" s="5">
        <f>AL13</f>
        <v>10381</v>
      </c>
      <c r="AM39" s="6">
        <f>AM13</f>
        <v>0.88330516765987721</v>
      </c>
      <c r="AN39" s="6">
        <f>AN13</f>
        <v>0.8719133210146145</v>
      </c>
    </row>
    <row r="40" spans="27:40" ht="14.25" customHeight="1">
      <c r="AD40" t="s">
        <v>2667</v>
      </c>
      <c r="AE40" s="37">
        <f>SUM(AE37:AE38)</f>
        <v>55</v>
      </c>
      <c r="AF40" s="37">
        <f>SUM(AF37:AF38)</f>
        <v>114</v>
      </c>
      <c r="AG40" s="53">
        <f>SUM(AG37:AG38)</f>
        <v>4.1761579347000755E-2</v>
      </c>
      <c r="AH40" s="53">
        <f>SUM(AH37:AH38)</f>
        <v>0.11457286432160804</v>
      </c>
      <c r="AK40" s="37">
        <f>SUM(AK37:AK38)</f>
        <v>1312</v>
      </c>
      <c r="AL40" s="37">
        <f>SUM(AL37:AL38)</f>
        <v>1525</v>
      </c>
      <c r="AM40" s="53">
        <f>SUM(AM37:AM38)</f>
        <v>0.11669483234012273</v>
      </c>
      <c r="AN40" s="53">
        <f>SUM(AN37:AN38)</f>
        <v>0.1280866789853855</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North Bonneville</v>
      </c>
      <c r="AF49" s="36" t="str">
        <f>City_label</f>
        <v>North Bonneville</v>
      </c>
      <c r="AG49" s="36" t="str">
        <f>City_label</f>
        <v>North Bonneville</v>
      </c>
      <c r="AH49" s="98" t="str">
        <f>IF(AH50&gt;=1, "Small Numbers", "")</f>
        <v>Small Numbers</v>
      </c>
      <c r="AK49" s="36" t="str">
        <f>City_label</f>
        <v>North Bonneville</v>
      </c>
      <c r="AL49" s="36" t="str">
        <f>City_label</f>
        <v>North Bonneville</v>
      </c>
      <c r="AM49" s="36" t="str">
        <f>City_label</f>
        <v>North Bonneville</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1262</v>
      </c>
      <c r="AF52" s="1">
        <v>232</v>
      </c>
      <c r="AG52" s="6">
        <f t="shared" ref="AG52:AG60" si="9">IFERROR(((AF52/1.645)/AE52), 0)</f>
        <v>0.11175391018261166</v>
      </c>
      <c r="AH52" s="98">
        <f>IF(AG52&gt;MOE_Threshold, 1, 0)</f>
        <v>0</v>
      </c>
      <c r="AK52" s="1">
        <v>881</v>
      </c>
      <c r="AL52" s="1">
        <v>179</v>
      </c>
      <c r="AM52" s="6">
        <f t="shared" ref="AM52:AM60" si="10">IFERROR(((AL52/1.645)/AK52), 0)</f>
        <v>0.12351258758870999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18</v>
      </c>
      <c r="AF53" s="1">
        <v>26</v>
      </c>
      <c r="AG53" s="6">
        <f t="shared" si="9"/>
        <v>0.87808172914555893</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8</v>
      </c>
      <c r="AL55" s="1">
        <v>13</v>
      </c>
      <c r="AM55" s="6">
        <f t="shared" si="10"/>
        <v>0.9878419452887538</v>
      </c>
      <c r="AN55" s="98">
        <f>IF(AM55&gt;MOE_Threshold, 1, 0)</f>
        <v>1</v>
      </c>
    </row>
    <row r="56" spans="3:40" ht="18">
      <c r="C56" s="51" t="str">
        <f>"Chart 1a. "&amp; City_label &amp; " population by race and Hispanic ethnicity, 2020"</f>
        <v>Chart 1a. North Bonneville population by race and Hispanic ethnicity, 2020</v>
      </c>
      <c r="AA56" s="112" t="s">
        <v>2484</v>
      </c>
      <c r="AB56" s="112" t="s">
        <v>2474</v>
      </c>
      <c r="AC56" t="s">
        <v>2675</v>
      </c>
      <c r="AE56" s="1">
        <v>29</v>
      </c>
      <c r="AF56" s="1">
        <v>34</v>
      </c>
      <c r="AG56" s="6">
        <f t="shared" si="9"/>
        <v>0.71271355203857045</v>
      </c>
      <c r="AH56" s="98"/>
      <c r="AK56" s="1">
        <v>6</v>
      </c>
      <c r="AL56" s="1">
        <v>7</v>
      </c>
      <c r="AM56" s="6">
        <f t="shared" si="10"/>
        <v>0.70921985815602839</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4</v>
      </c>
      <c r="AF58" s="1">
        <v>7</v>
      </c>
      <c r="AG58" s="6">
        <f t="shared" si="9"/>
        <v>1.0638297872340425</v>
      </c>
      <c r="AH58" s="98"/>
      <c r="AK58" s="1">
        <v>26</v>
      </c>
      <c r="AL58" s="1">
        <v>27</v>
      </c>
      <c r="AM58" s="6">
        <f t="shared" si="10"/>
        <v>0.63128361000701427</v>
      </c>
      <c r="AN58" s="98"/>
    </row>
    <row r="59" spans="3:40">
      <c r="AA59" s="112" t="s">
        <v>2496</v>
      </c>
      <c r="AB59" s="112" t="s">
        <v>2494</v>
      </c>
      <c r="AC59" t="s">
        <v>2790</v>
      </c>
      <c r="AE59" s="1">
        <v>4</v>
      </c>
      <c r="AF59" s="1">
        <v>6</v>
      </c>
      <c r="AG59" s="6">
        <f t="shared" si="9"/>
        <v>0.91185410334346506</v>
      </c>
      <c r="AH59" s="98">
        <f>IF(AG59&gt;MOE_Threshold, 1, 0)</f>
        <v>1</v>
      </c>
      <c r="AK59" s="1">
        <v>74</v>
      </c>
      <c r="AL59" s="1">
        <v>68</v>
      </c>
      <c r="AM59" s="6">
        <f t="shared" si="10"/>
        <v>0.5586133245707714</v>
      </c>
      <c r="AN59" s="98">
        <f>IF(AM59&gt;MOE_Threshold, 1, 0)</f>
        <v>1</v>
      </c>
    </row>
    <row r="60" spans="3:40" ht="15">
      <c r="AA60" s="112" t="s">
        <v>2500</v>
      </c>
      <c r="AB60" s="112" t="s">
        <v>2498</v>
      </c>
      <c r="AC60" s="16" t="s">
        <v>2667</v>
      </c>
      <c r="AE60" s="2">
        <v>1317</v>
      </c>
      <c r="AF60" s="2">
        <v>239</v>
      </c>
      <c r="AG60" s="6">
        <f t="shared" si="9"/>
        <v>0.1103179603640031</v>
      </c>
      <c r="AH60" s="98">
        <f>IF(AG60&gt;MOE_Threshold, 1, 0)</f>
        <v>0</v>
      </c>
      <c r="AK60" s="2">
        <v>995</v>
      </c>
      <c r="AL60" s="2">
        <v>196</v>
      </c>
      <c r="AM60" s="6">
        <f t="shared" si="10"/>
        <v>0.1197476745429274</v>
      </c>
      <c r="AN60" s="98">
        <f>IF(AM60&gt;MOE_Threshold, 1, 0)</f>
        <v>0</v>
      </c>
    </row>
    <row r="61" spans="3:40">
      <c r="AE61" s="1"/>
      <c r="AF61" s="1"/>
      <c r="AK61" s="1"/>
      <c r="AL61" s="1"/>
      <c r="AN61" s="98"/>
    </row>
    <row r="62" spans="3:40">
      <c r="AN62" s="98"/>
    </row>
    <row r="63" spans="3:40">
      <c r="AN63" s="98"/>
    </row>
    <row r="64" spans="3:40" ht="15">
      <c r="AF64" s="36" t="str">
        <f>County_label</f>
        <v>Skamania County</v>
      </c>
      <c r="AG64" s="36" t="str">
        <f>County_label</f>
        <v>Skamania County</v>
      </c>
      <c r="AH64" t="str">
        <f>IF(AH65&gt;=1, "Small Numbers", "")</f>
        <v/>
      </c>
      <c r="AK64" s="36" t="str">
        <f>County_label</f>
        <v>Skamania County</v>
      </c>
      <c r="AL64" s="36" t="str">
        <f>County_label</f>
        <v>Skamania County</v>
      </c>
      <c r="AM64" s="36" t="str">
        <f>County_label</f>
        <v>Skamania County</v>
      </c>
      <c r="AN64" s="98" t="str">
        <f>IF(AN65&gt;=1, "Small Numbers", "")</f>
        <v>Small Numbers</v>
      </c>
    </row>
    <row r="65" spans="3:40" ht="15">
      <c r="AE65" s="36">
        <v>2015</v>
      </c>
      <c r="AF65" s="36">
        <v>2015</v>
      </c>
      <c r="AG65" s="36">
        <v>2015</v>
      </c>
      <c r="AH65" s="160">
        <f>SUM(AH67:AH75)</f>
        <v>0</v>
      </c>
      <c r="AK65" s="36">
        <v>2020</v>
      </c>
      <c r="AL65" s="36">
        <v>2020</v>
      </c>
      <c r="AM65" s="36">
        <v>2020</v>
      </c>
      <c r="AN65" s="160">
        <f>SUM(AN67:AN75)</f>
        <v>1</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9931</v>
      </c>
      <c r="AF67" s="1">
        <v>24</v>
      </c>
      <c r="AG67" s="6">
        <f t="shared" ref="AG67:AG75" si="11">IFERROR(((AF67/1.645)/AE67), 0)</f>
        <v>1.469103378662314E-3</v>
      </c>
      <c r="AH67" s="98">
        <f>IF(AG67&gt;MOE_Threshold, 1, 0)</f>
        <v>0</v>
      </c>
      <c r="AK67" s="1">
        <v>10381</v>
      </c>
      <c r="AL67" s="1">
        <v>21</v>
      </c>
      <c r="AM67" s="6">
        <f t="shared" ref="AM67:AM75" si="12">IFERROR(((AL67/1.645)/AK67), 0)</f>
        <v>1.2297425533964465E-3</v>
      </c>
      <c r="AN67" s="98">
        <f>IF(AM67&gt;MOE_Threshold, 1, 0)</f>
        <v>0</v>
      </c>
    </row>
    <row r="68" spans="3:40">
      <c r="AA68" s="112" t="s">
        <v>2490</v>
      </c>
      <c r="AB68" s="112" t="s">
        <v>2480</v>
      </c>
      <c r="AC68" t="s">
        <v>2673</v>
      </c>
      <c r="AE68" s="1">
        <v>95</v>
      </c>
      <c r="AF68" s="1">
        <v>26</v>
      </c>
      <c r="AG68" s="6">
        <f t="shared" si="11"/>
        <v>0.16637338025915854</v>
      </c>
      <c r="AH68" s="98">
        <f>IF(AG68&gt;MOE_Threshold, 1, 0)</f>
        <v>0</v>
      </c>
      <c r="AK68" s="1">
        <v>56</v>
      </c>
      <c r="AL68" s="1">
        <v>53</v>
      </c>
      <c r="AM68" s="6">
        <f t="shared" si="12"/>
        <v>0.57533651758575766</v>
      </c>
      <c r="AN68" s="98">
        <f>IF(AM68&gt;MOE_Threshold, 1, 0)</f>
        <v>1</v>
      </c>
    </row>
    <row r="69" spans="3:40">
      <c r="AA69" s="112" t="s">
        <v>2488</v>
      </c>
      <c r="AB69" s="112" t="s">
        <v>2478</v>
      </c>
      <c r="AC69" t="s">
        <v>2674</v>
      </c>
      <c r="AE69" s="1">
        <v>233</v>
      </c>
      <c r="AF69" s="1">
        <v>54</v>
      </c>
      <c r="AG69" s="6">
        <f t="shared" si="11"/>
        <v>0.14088732927195169</v>
      </c>
      <c r="AH69" s="98"/>
      <c r="AK69" s="1">
        <v>214</v>
      </c>
      <c r="AL69" s="1">
        <v>62</v>
      </c>
      <c r="AM69" s="6">
        <f t="shared" si="12"/>
        <v>0.17612135329375336</v>
      </c>
      <c r="AN69" s="98"/>
    </row>
    <row r="70" spans="3:40">
      <c r="AA70" s="112" t="s">
        <v>2486</v>
      </c>
      <c r="AB70" s="112" t="s">
        <v>2476</v>
      </c>
      <c r="AC70" t="s">
        <v>2666</v>
      </c>
      <c r="AE70" s="1">
        <v>110</v>
      </c>
      <c r="AF70" s="1">
        <v>22</v>
      </c>
      <c r="AG70" s="6">
        <f t="shared" si="11"/>
        <v>0.12158054711246201</v>
      </c>
      <c r="AH70" s="98">
        <f>IF(AG70&gt;MOE_Threshold, 1, 0)</f>
        <v>0</v>
      </c>
      <c r="AK70" s="1">
        <v>158</v>
      </c>
      <c r="AL70" s="1">
        <v>23</v>
      </c>
      <c r="AM70" s="6">
        <f t="shared" si="12"/>
        <v>8.8492170366665387E-2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35</v>
      </c>
      <c r="AF71" s="1">
        <v>35</v>
      </c>
      <c r="AG71" s="6">
        <f t="shared" si="11"/>
        <v>0.60790273556231</v>
      </c>
      <c r="AH71" s="98"/>
      <c r="AK71" s="1">
        <v>30</v>
      </c>
      <c r="AL71" s="1">
        <v>9</v>
      </c>
      <c r="AM71" s="6">
        <f t="shared" si="12"/>
        <v>0.18237082066869301</v>
      </c>
      <c r="AN71" s="98"/>
    </row>
    <row r="72" spans="3:40">
      <c r="C72" s="298"/>
      <c r="D72" s="298"/>
      <c r="E72" s="298"/>
      <c r="F72" s="298"/>
      <c r="G72" s="298"/>
      <c r="H72" s="298"/>
      <c r="I72" s="298"/>
      <c r="J72" s="298"/>
      <c r="K72" s="298"/>
      <c r="AA72" s="112" t="s">
        <v>2482</v>
      </c>
      <c r="AB72" s="112" t="s">
        <v>2472</v>
      </c>
      <c r="AC72" t="s">
        <v>2706</v>
      </c>
      <c r="AE72" s="1">
        <v>24</v>
      </c>
      <c r="AF72" s="1">
        <v>23</v>
      </c>
      <c r="AG72" s="6">
        <f t="shared" si="11"/>
        <v>0.58257345491388046</v>
      </c>
      <c r="AH72" s="98"/>
      <c r="AK72" s="1">
        <v>2</v>
      </c>
      <c r="AL72" s="1">
        <v>3</v>
      </c>
      <c r="AM72" s="6">
        <f t="shared" si="12"/>
        <v>0.91185410334346506</v>
      </c>
      <c r="AN72" s="98"/>
    </row>
    <row r="73" spans="3:40">
      <c r="AA73" s="112" t="s">
        <v>2480</v>
      </c>
      <c r="AB73" s="112" t="s">
        <v>2470</v>
      </c>
      <c r="AC73" t="s">
        <v>2665</v>
      </c>
      <c r="AE73" s="1">
        <v>173</v>
      </c>
      <c r="AF73" s="1">
        <v>54</v>
      </c>
      <c r="AG73" s="6">
        <f t="shared" si="11"/>
        <v>0.18974998682291758</v>
      </c>
      <c r="AH73" s="98"/>
      <c r="AK73" s="1">
        <v>280</v>
      </c>
      <c r="AL73" s="1">
        <v>83</v>
      </c>
      <c r="AM73" s="6">
        <f t="shared" si="12"/>
        <v>0.18019973947025617</v>
      </c>
      <c r="AN73" s="98"/>
    </row>
    <row r="74" spans="3:40" ht="18" customHeight="1">
      <c r="C74" s="301" t="str">
        <f>"Table 2. Racial composition percentage of "&amp; City_label &amp; " and " &amp; County_label&amp; " 2015 and 2020"</f>
        <v>Table 2. Racial composition percentage of North Bonneville and Skamania County 2015 and 2020</v>
      </c>
      <c r="D74" s="301"/>
      <c r="E74" s="301"/>
      <c r="F74" s="301"/>
      <c r="G74" s="301"/>
      <c r="H74" s="301"/>
      <c r="I74" s="301"/>
      <c r="J74" s="301"/>
      <c r="K74" s="301"/>
      <c r="L74" s="301"/>
      <c r="M74" s="301"/>
      <c r="AA74" s="112" t="s">
        <v>2496</v>
      </c>
      <c r="AB74" s="112" t="s">
        <v>2494</v>
      </c>
      <c r="AC74" t="s">
        <v>2790</v>
      </c>
      <c r="AE74" s="1">
        <v>642</v>
      </c>
      <c r="AF74" s="1" t="s">
        <v>2425</v>
      </c>
      <c r="AG74" s="6">
        <f t="shared" si="11"/>
        <v>0</v>
      </c>
      <c r="AH74" s="98">
        <f>IF(AG74&gt;MOE_Threshold, 1, 0)</f>
        <v>0</v>
      </c>
      <c r="AK74" s="1">
        <v>785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11243</v>
      </c>
      <c r="AF75" s="1" t="s">
        <v>2425</v>
      </c>
      <c r="AG75" s="6">
        <f t="shared" si="11"/>
        <v>0</v>
      </c>
      <c r="AH75" s="98">
        <f>IF(AG75&gt;MOE_Threshold, 1, 0)</f>
        <v>0</v>
      </c>
      <c r="AK75" s="2">
        <v>11906</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North Bonneville</v>
      </c>
      <c r="G77" s="303"/>
      <c r="H77" s="303" t="str">
        <f>County_label</f>
        <v>Skamania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8.0402010050251264E-3</v>
      </c>
      <c r="H79" s="179">
        <f t="shared" ref="H79:I83" si="14">AM26</f>
        <v>9.7838655163212662E-3</v>
      </c>
      <c r="I79" s="179">
        <f t="shared" si="14"/>
        <v>1.3270619855535024E-2</v>
      </c>
    </row>
    <row r="80" spans="3:40">
      <c r="C80" s="29" t="s">
        <v>2673</v>
      </c>
      <c r="D80" s="29"/>
      <c r="E80" s="29"/>
      <c r="F80" s="101">
        <f t="shared" si="13"/>
        <v>1.366742596810934E-2</v>
      </c>
      <c r="G80" s="101">
        <f t="shared" si="13"/>
        <v>0</v>
      </c>
      <c r="H80" s="101">
        <f t="shared" si="14"/>
        <v>8.4497020368229127E-3</v>
      </c>
      <c r="I80" s="101">
        <f t="shared" si="14"/>
        <v>4.7035108348731734E-3</v>
      </c>
    </row>
    <row r="81" spans="3:10">
      <c r="C81" s="29" t="s">
        <v>2790</v>
      </c>
      <c r="D81" s="29"/>
      <c r="E81" s="29"/>
      <c r="F81" s="179">
        <f t="shared" si="13"/>
        <v>3.0372057706909645E-3</v>
      </c>
      <c r="G81" s="179">
        <f t="shared" si="13"/>
        <v>7.4371859296482407E-2</v>
      </c>
      <c r="H81" s="179">
        <f t="shared" si="14"/>
        <v>5.7102196922529574E-2</v>
      </c>
      <c r="I81" s="179">
        <f t="shared" si="14"/>
        <v>6.5933142953132878E-2</v>
      </c>
    </row>
    <row r="82" spans="3:10">
      <c r="C82" s="29" t="s">
        <v>2706</v>
      </c>
      <c r="D82" s="29"/>
      <c r="E82" s="29"/>
      <c r="F82" s="101">
        <f t="shared" si="13"/>
        <v>2.5056947608200455E-2</v>
      </c>
      <c r="G82" s="101">
        <f t="shared" si="13"/>
        <v>3.2160804020100506E-2</v>
      </c>
      <c r="H82" s="101">
        <f t="shared" si="14"/>
        <v>4.1359067864448991E-2</v>
      </c>
      <c r="I82" s="101">
        <f t="shared" si="14"/>
        <v>4.4179405341844447E-2</v>
      </c>
    </row>
    <row r="83" spans="3:10" ht="13.9" customHeight="1">
      <c r="C83" s="29" t="s">
        <v>2672</v>
      </c>
      <c r="D83" s="29"/>
      <c r="E83" s="29"/>
      <c r="F83" s="179">
        <f t="shared" si="13"/>
        <v>0.95823842065299925</v>
      </c>
      <c r="G83" s="179">
        <f t="shared" si="13"/>
        <v>0.88542713567839193</v>
      </c>
      <c r="H83" s="179">
        <f t="shared" si="14"/>
        <v>0.88330516765987721</v>
      </c>
      <c r="I83" s="179">
        <f t="shared" si="14"/>
        <v>0.8719133210146145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North Bonneville and Skamania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North Bonneville and Skamania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North Bonneville and Skamania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North Bonneville number of households by housing cost burden, 2019</v>
      </c>
      <c r="J4" t="s">
        <v>2791</v>
      </c>
      <c r="R4" s="16" t="s">
        <v>2702</v>
      </c>
      <c r="S4" s="52" t="str">
        <f>City</f>
        <v>North Bonneville city, Washington</v>
      </c>
    </row>
    <row r="5" spans="3:66" ht="15.75" customHeight="1" thickBot="1">
      <c r="R5" s="16" t="s">
        <v>2703</v>
      </c>
      <c r="S5" s="52" t="str">
        <f>County</f>
        <v>Skamania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230</v>
      </c>
      <c r="G10" s="102">
        <f t="shared" si="0"/>
        <v>0</v>
      </c>
      <c r="H10" s="102">
        <f t="shared" si="0"/>
        <v>10</v>
      </c>
      <c r="I10" s="102">
        <f t="shared" si="0"/>
        <v>0</v>
      </c>
      <c r="J10" s="102">
        <f t="shared" si="0"/>
        <v>0</v>
      </c>
      <c r="K10" s="102">
        <f t="shared" si="0"/>
        <v>0</v>
      </c>
      <c r="L10" s="102">
        <f t="shared" si="0"/>
        <v>4</v>
      </c>
      <c r="M10" s="102">
        <f>SUM(F10:L10)</f>
        <v>244</v>
      </c>
      <c r="S10" s="33" t="s">
        <v>12</v>
      </c>
      <c r="T10" s="5">
        <f t="shared" ref="T10:AA13" si="1">T30+T50</f>
        <v>345</v>
      </c>
      <c r="U10" s="5">
        <f t="shared" si="1"/>
        <v>0</v>
      </c>
      <c r="V10" s="5">
        <f t="shared" si="1"/>
        <v>10</v>
      </c>
      <c r="W10" s="5">
        <f t="shared" si="1"/>
        <v>0</v>
      </c>
      <c r="X10" s="5">
        <f t="shared" si="1"/>
        <v>0</v>
      </c>
      <c r="Y10" s="5">
        <f t="shared" si="1"/>
        <v>0</v>
      </c>
      <c r="Z10" s="5">
        <f t="shared" si="1"/>
        <v>4</v>
      </c>
      <c r="AA10" s="5">
        <f t="shared" si="1"/>
        <v>359</v>
      </c>
      <c r="AB10" s="5"/>
      <c r="AC10" s="5"/>
      <c r="AD10" s="33" t="s">
        <v>12</v>
      </c>
      <c r="AE10" s="5">
        <f>V10</f>
        <v>10</v>
      </c>
      <c r="AF10" s="5">
        <f>U10</f>
        <v>0</v>
      </c>
      <c r="AG10" s="5">
        <f>'Cost Burden'!Z10</f>
        <v>4</v>
      </c>
      <c r="AH10" s="5">
        <f>SUM(W10:Y10)</f>
        <v>0</v>
      </c>
      <c r="AI10" s="5">
        <f t="shared" ref="AI10" si="2">SUM(U10:Z10)</f>
        <v>14</v>
      </c>
      <c r="AJ10" s="5">
        <f>T10</f>
        <v>345</v>
      </c>
      <c r="AK10" s="5">
        <f t="shared" ref="AK10" si="3">SUM(AJ10,AE10:AH10)</f>
        <v>359</v>
      </c>
      <c r="AQ10" s="31"/>
      <c r="BC10" s="41"/>
      <c r="BG10" s="311"/>
      <c r="BH10" s="311"/>
      <c r="BI10" s="311"/>
    </row>
    <row r="11" spans="3:66" ht="13.9" customHeight="1">
      <c r="C11" s="69" t="str">
        <f>S36</f>
        <v>Total Cost-Burdened</v>
      </c>
      <c r="D11" s="29"/>
      <c r="E11" s="29"/>
      <c r="F11" s="102">
        <f>T36</f>
        <v>55</v>
      </c>
      <c r="G11" s="102">
        <f t="shared" ref="G11:L11" si="4">U36</f>
        <v>0</v>
      </c>
      <c r="H11" s="102">
        <f t="shared" si="4"/>
        <v>0</v>
      </c>
      <c r="I11" s="102">
        <f t="shared" si="4"/>
        <v>0</v>
      </c>
      <c r="J11" s="102">
        <f t="shared" si="4"/>
        <v>0</v>
      </c>
      <c r="K11" s="102">
        <f t="shared" si="4"/>
        <v>4</v>
      </c>
      <c r="L11" s="102">
        <f t="shared" si="4"/>
        <v>0</v>
      </c>
      <c r="M11" s="102">
        <f t="shared" ref="M11:M14" si="5">SUM(F11:L11)</f>
        <v>59</v>
      </c>
      <c r="S11" s="33" t="s">
        <v>1981</v>
      </c>
      <c r="T11" s="5">
        <f t="shared" si="1"/>
        <v>90</v>
      </c>
      <c r="U11" s="5">
        <f t="shared" si="1"/>
        <v>0</v>
      </c>
      <c r="V11" s="5">
        <f t="shared" si="1"/>
        <v>0</v>
      </c>
      <c r="W11" s="5">
        <f t="shared" si="1"/>
        <v>0</v>
      </c>
      <c r="X11" s="5">
        <f t="shared" si="1"/>
        <v>0</v>
      </c>
      <c r="Y11" s="5">
        <f t="shared" si="1"/>
        <v>4</v>
      </c>
      <c r="Z11" s="5">
        <f t="shared" si="1"/>
        <v>0</v>
      </c>
      <c r="AA11" s="5">
        <f t="shared" si="1"/>
        <v>94</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90</v>
      </c>
      <c r="AK11" s="5">
        <f t="shared" ref="AK11:AK13" si="11">SUM(AJ11,AE11:AH11)</f>
        <v>94</v>
      </c>
      <c r="AQ11" s="31"/>
      <c r="BC11" s="41"/>
      <c r="BH11" s="197"/>
    </row>
    <row r="12" spans="3:66">
      <c r="C12" s="117" t="str">
        <f>S31</f>
        <v>Cost-Burdened (30-50%)</v>
      </c>
      <c r="D12" s="118"/>
      <c r="E12" s="118"/>
      <c r="F12" s="214">
        <f t="shared" ref="F12:L14" si="12">T31</f>
        <v>40</v>
      </c>
      <c r="G12" s="214">
        <f t="shared" si="12"/>
        <v>0</v>
      </c>
      <c r="H12" s="214">
        <f t="shared" si="12"/>
        <v>0</v>
      </c>
      <c r="I12" s="214">
        <f t="shared" si="12"/>
        <v>0</v>
      </c>
      <c r="J12" s="214">
        <f t="shared" si="12"/>
        <v>0</v>
      </c>
      <c r="K12" s="214">
        <f t="shared" si="12"/>
        <v>4</v>
      </c>
      <c r="L12" s="214">
        <f t="shared" si="12"/>
        <v>0</v>
      </c>
      <c r="M12" s="214">
        <f t="shared" si="5"/>
        <v>44</v>
      </c>
      <c r="S12" s="33" t="s">
        <v>1982</v>
      </c>
      <c r="T12" s="5">
        <f t="shared" si="1"/>
        <v>19</v>
      </c>
      <c r="U12" s="5">
        <f t="shared" si="1"/>
        <v>0</v>
      </c>
      <c r="V12" s="5">
        <f t="shared" si="1"/>
        <v>0</v>
      </c>
      <c r="W12" s="5">
        <f t="shared" si="1"/>
        <v>0</v>
      </c>
      <c r="X12" s="5">
        <f t="shared" si="1"/>
        <v>0</v>
      </c>
      <c r="Y12" s="5">
        <f t="shared" si="1"/>
        <v>0</v>
      </c>
      <c r="Z12" s="5">
        <f t="shared" si="1"/>
        <v>0</v>
      </c>
      <c r="AA12" s="5">
        <f t="shared" si="1"/>
        <v>19</v>
      </c>
      <c r="AB12" s="5"/>
      <c r="AC12" s="5"/>
      <c r="AD12" s="33" t="s">
        <v>1982</v>
      </c>
      <c r="AE12" s="5">
        <f t="shared" si="6"/>
        <v>0</v>
      </c>
      <c r="AF12" s="5">
        <f t="shared" si="7"/>
        <v>0</v>
      </c>
      <c r="AG12" s="5">
        <f>'Cost Burden'!Z12</f>
        <v>0</v>
      </c>
      <c r="AH12" s="5">
        <f t="shared" si="8"/>
        <v>0</v>
      </c>
      <c r="AI12" s="5">
        <f t="shared" si="9"/>
        <v>0</v>
      </c>
      <c r="AJ12" s="5">
        <f t="shared" si="10"/>
        <v>19</v>
      </c>
      <c r="AK12" s="5">
        <f t="shared" si="11"/>
        <v>19</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454</v>
      </c>
      <c r="U14" s="37">
        <f t="shared" si="13"/>
        <v>0</v>
      </c>
      <c r="V14" s="37">
        <f t="shared" si="13"/>
        <v>10</v>
      </c>
      <c r="W14" s="37">
        <f t="shared" si="13"/>
        <v>0</v>
      </c>
      <c r="X14" s="37">
        <f t="shared" si="13"/>
        <v>0</v>
      </c>
      <c r="Y14" s="37">
        <f t="shared" si="13"/>
        <v>4</v>
      </c>
      <c r="Z14" s="37">
        <f t="shared" si="13"/>
        <v>4</v>
      </c>
      <c r="AA14" s="37">
        <f>AA34+AA54</f>
        <v>468</v>
      </c>
      <c r="AB14" s="5"/>
      <c r="AC14" s="5"/>
      <c r="AD14" s="34" t="s">
        <v>1</v>
      </c>
      <c r="AE14" s="37">
        <f t="shared" si="6"/>
        <v>10</v>
      </c>
      <c r="AF14" s="37">
        <f t="shared" ref="AF14" si="14">U14</f>
        <v>0</v>
      </c>
      <c r="AG14" s="37">
        <f>'Cost Burden'!Z14</f>
        <v>4</v>
      </c>
      <c r="AH14" s="37">
        <f t="shared" ref="AH14" si="15">SUM(W14:Y14)</f>
        <v>4</v>
      </c>
      <c r="AI14" s="37">
        <f t="shared" ref="AI14" si="16">SUM(U14:Z14)</f>
        <v>18</v>
      </c>
      <c r="AJ14" s="37">
        <f t="shared" ref="AJ14" si="17">T14</f>
        <v>454</v>
      </c>
      <c r="AK14" s="58">
        <f>AA14</f>
        <v>468</v>
      </c>
      <c r="BC14" s="41"/>
      <c r="BH14" s="196"/>
    </row>
    <row r="15" spans="3:66" ht="15">
      <c r="C15" s="29"/>
      <c r="D15" s="29"/>
      <c r="E15" s="75" t="str">
        <f>S14</f>
        <v>Total</v>
      </c>
      <c r="F15" s="104">
        <f>T34</f>
        <v>280</v>
      </c>
      <c r="G15" s="104">
        <f t="shared" ref="G15:L15" si="18">U34</f>
        <v>0</v>
      </c>
      <c r="H15" s="104">
        <f t="shared" si="18"/>
        <v>10</v>
      </c>
      <c r="I15" s="104">
        <f t="shared" si="18"/>
        <v>0</v>
      </c>
      <c r="J15" s="104">
        <f t="shared" si="18"/>
        <v>0</v>
      </c>
      <c r="K15" s="104">
        <f t="shared" si="18"/>
        <v>4</v>
      </c>
      <c r="L15" s="104">
        <f t="shared" si="18"/>
        <v>4</v>
      </c>
      <c r="M15" s="104">
        <f>SUM(F15:L15)</f>
        <v>298</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54</v>
      </c>
      <c r="AK16" s="114">
        <f>SUM(AJ16,AE16:AH16)</f>
        <v>54</v>
      </c>
      <c r="BC16" s="41"/>
      <c r="BG16" s="311"/>
      <c r="BH16" s="311"/>
      <c r="BI16" s="311"/>
    </row>
    <row r="17" spans="3:55">
      <c r="C17" s="69" t="str">
        <f>S50</f>
        <v>Not Cost Burdened</v>
      </c>
      <c r="D17" s="29"/>
      <c r="E17" s="29"/>
      <c r="F17" s="102">
        <f t="shared" ref="F17:L17" si="21">T50</f>
        <v>115</v>
      </c>
      <c r="G17" s="102">
        <f t="shared" si="21"/>
        <v>0</v>
      </c>
      <c r="H17" s="102">
        <f t="shared" si="21"/>
        <v>0</v>
      </c>
      <c r="I17" s="102">
        <f t="shared" si="21"/>
        <v>0</v>
      </c>
      <c r="J17" s="102">
        <f t="shared" si="21"/>
        <v>0</v>
      </c>
      <c r="K17" s="102">
        <f t="shared" si="21"/>
        <v>0</v>
      </c>
      <c r="L17" s="102">
        <f t="shared" si="21"/>
        <v>0</v>
      </c>
      <c r="M17" s="102">
        <f>SUM(F17:L17)</f>
        <v>115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54</v>
      </c>
      <c r="G18" s="102">
        <f t="shared" si="22"/>
        <v>0</v>
      </c>
      <c r="H18" s="102">
        <f t="shared" si="22"/>
        <v>0</v>
      </c>
      <c r="I18" s="102">
        <f t="shared" si="22"/>
        <v>0</v>
      </c>
      <c r="J18" s="102">
        <f t="shared" si="22"/>
        <v>0</v>
      </c>
      <c r="K18" s="102">
        <f t="shared" si="22"/>
        <v>0</v>
      </c>
      <c r="L18" s="102">
        <f t="shared" si="22"/>
        <v>0</v>
      </c>
      <c r="M18" s="102">
        <f t="shared" ref="M18:M21" si="23">SUM(F18:L18)</f>
        <v>54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50</v>
      </c>
      <c r="G19" s="119">
        <f t="shared" si="24"/>
        <v>0</v>
      </c>
      <c r="H19" s="119">
        <f t="shared" si="24"/>
        <v>0</v>
      </c>
      <c r="I19" s="119">
        <f t="shared" si="24"/>
        <v>0</v>
      </c>
      <c r="J19" s="119">
        <f t="shared" si="24"/>
        <v>0</v>
      </c>
      <c r="K19" s="119">
        <f t="shared" si="24"/>
        <v>0</v>
      </c>
      <c r="L19" s="119">
        <f t="shared" si="24"/>
        <v>0</v>
      </c>
      <c r="M19" s="102">
        <f t="shared" si="23"/>
        <v>50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170</v>
      </c>
      <c r="G22" s="106">
        <f t="shared" ref="G22:L22" si="25">U54</f>
        <v>0</v>
      </c>
      <c r="H22" s="106">
        <f t="shared" si="25"/>
        <v>0</v>
      </c>
      <c r="I22" s="106">
        <f t="shared" si="25"/>
        <v>0</v>
      </c>
      <c r="J22" s="106">
        <f t="shared" si="25"/>
        <v>0</v>
      </c>
      <c r="K22" s="106">
        <f t="shared" si="25"/>
        <v>0</v>
      </c>
      <c r="L22" s="106">
        <f t="shared" si="25"/>
        <v>0</v>
      </c>
      <c r="M22" s="104">
        <f>SUM(F22:L22)</f>
        <v>170</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0</v>
      </c>
      <c r="AG22" s="5">
        <f>'Cost Burden'!Z30</f>
        <v>4</v>
      </c>
      <c r="AH22" s="5">
        <f>SUM(W30:Y30)</f>
        <v>0</v>
      </c>
      <c r="AI22" s="5">
        <f>SUM(U30:Z30)</f>
        <v>14</v>
      </c>
      <c r="AJ22" s="5">
        <f>T30</f>
        <v>230</v>
      </c>
      <c r="AK22" s="5">
        <f>AA30</f>
        <v>244</v>
      </c>
      <c r="AQ22" s="31"/>
      <c r="BC22" s="41"/>
    </row>
    <row r="23" spans="3:55" ht="14.25" customHeight="1" thickBot="1">
      <c r="C23" s="77"/>
      <c r="D23" s="77"/>
      <c r="E23" s="78" t="s">
        <v>2709</v>
      </c>
      <c r="F23" s="107">
        <f>SUM(F15,F22)</f>
        <v>450</v>
      </c>
      <c r="G23" s="107">
        <f t="shared" ref="G23:M23" si="26">SUM(G15,G22)</f>
        <v>0</v>
      </c>
      <c r="H23" s="107">
        <f t="shared" si="26"/>
        <v>10</v>
      </c>
      <c r="I23" s="107">
        <f t="shared" si="26"/>
        <v>0</v>
      </c>
      <c r="J23" s="107">
        <f t="shared" si="26"/>
        <v>0</v>
      </c>
      <c r="K23" s="107">
        <f t="shared" si="26"/>
        <v>4</v>
      </c>
      <c r="L23" s="107">
        <f t="shared" si="26"/>
        <v>4</v>
      </c>
      <c r="M23" s="107">
        <f t="shared" si="26"/>
        <v>468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40</v>
      </c>
      <c r="AK23" s="5">
        <f t="shared" ref="AK23:AK25" si="32">AA31</f>
        <v>44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0</v>
      </c>
      <c r="AG26" s="37">
        <f>'Cost Burden'!Z34</f>
        <v>4</v>
      </c>
      <c r="AH26" s="37">
        <f t="shared" si="29"/>
        <v>4</v>
      </c>
      <c r="AI26" s="37">
        <f t="shared" si="30"/>
        <v>18</v>
      </c>
      <c r="AJ26" s="37">
        <f t="shared" si="31"/>
        <v>280</v>
      </c>
      <c r="AK26" s="37">
        <f>SUM(AJ26,AE26:AH26)</f>
        <v>298</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North Bonneville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230</v>
      </c>
      <c r="U30" s="1">
        <v>0</v>
      </c>
      <c r="V30" s="1">
        <v>10</v>
      </c>
      <c r="W30" s="1">
        <v>0</v>
      </c>
      <c r="X30" s="1">
        <v>0</v>
      </c>
      <c r="Y30" s="1">
        <v>0</v>
      </c>
      <c r="Z30" s="1">
        <v>4</v>
      </c>
      <c r="AA30" s="5">
        <f>SUM(T30:Z30)</f>
        <v>244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40</v>
      </c>
      <c r="U31" s="1">
        <v>0</v>
      </c>
      <c r="V31" s="1">
        <v>0</v>
      </c>
      <c r="W31" s="1">
        <v>0</v>
      </c>
      <c r="X31" s="1">
        <v>0</v>
      </c>
      <c r="Y31" s="1">
        <v>4</v>
      </c>
      <c r="Z31" s="1">
        <v>0</v>
      </c>
      <c r="AA31" s="5">
        <f t="shared" ref="AA31:AA34" si="33">SUM(T31:Z31)</f>
        <v>44</v>
      </c>
      <c r="AB31" s="5"/>
      <c r="AC31" s="5"/>
      <c r="AD31" s="5"/>
      <c r="AE31" s="314"/>
      <c r="AF31" s="313"/>
      <c r="AG31" s="315"/>
      <c r="AH31" s="314"/>
      <c r="AI31" s="324"/>
      <c r="AJ31" s="324"/>
      <c r="AK31" s="314"/>
    </row>
    <row r="32" spans="3:55" ht="14.25" customHeight="1">
      <c r="C32" s="5"/>
      <c r="S32" s="33" t="s">
        <v>1982</v>
      </c>
      <c r="T32" s="1">
        <v>15</v>
      </c>
      <c r="U32" s="1">
        <v>0</v>
      </c>
      <c r="V32" s="1">
        <v>0</v>
      </c>
      <c r="W32" s="1">
        <v>0</v>
      </c>
      <c r="X32" s="1">
        <v>0</v>
      </c>
      <c r="Y32" s="1">
        <v>0</v>
      </c>
      <c r="Z32" s="1">
        <v>0</v>
      </c>
      <c r="AA32" s="5">
        <f t="shared" si="33"/>
        <v>15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115</v>
      </c>
      <c r="AK33" s="5">
        <f t="shared" ref="AK33" si="34">SUM(AJ33,AE33:AH33)</f>
        <v>115</v>
      </c>
    </row>
    <row r="34" spans="3:49" ht="15">
      <c r="S34" s="33" t="s">
        <v>2</v>
      </c>
      <c r="T34" s="1">
        <v>280</v>
      </c>
      <c r="U34" s="1">
        <v>0</v>
      </c>
      <c r="V34" s="1">
        <v>10</v>
      </c>
      <c r="W34" s="1">
        <v>0</v>
      </c>
      <c r="X34" s="1">
        <v>0</v>
      </c>
      <c r="Y34" s="1">
        <v>4</v>
      </c>
      <c r="Z34" s="1">
        <v>4</v>
      </c>
      <c r="AA34" s="37">
        <f t="shared" si="33"/>
        <v>298</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50</v>
      </c>
      <c r="AK34" s="5">
        <f t="shared" ref="AK34:AK37" si="40">SUM(AJ34,AE34:AH34)</f>
        <v>50</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55</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170</v>
      </c>
      <c r="AK37" s="37">
        <f t="shared" si="40"/>
        <v>170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54</v>
      </c>
      <c r="AK39" s="114">
        <f>SUM(AJ39,AE39:AH39)</f>
        <v>54</v>
      </c>
    </row>
    <row r="40" spans="3:49">
      <c r="T40" s="57" t="s">
        <v>2637</v>
      </c>
      <c r="U40" s="57" t="s">
        <v>2637</v>
      </c>
      <c r="V40" s="57" t="s">
        <v>2637</v>
      </c>
      <c r="W40" s="57" t="s">
        <v>2637</v>
      </c>
      <c r="X40" s="57" t="s">
        <v>2637</v>
      </c>
      <c r="Y40" s="57" t="s">
        <v>2637</v>
      </c>
      <c r="Z40" s="57" t="s">
        <v>2637</v>
      </c>
      <c r="AE40" s="6">
        <f>AJ39/AJ37</f>
        <v>0.31764705882352939</v>
      </c>
      <c r="AF40" s="6" t="e">
        <f>AI39/AI37</f>
        <v>#DIV/0!</v>
      </c>
      <c r="AG40" s="6" t="e">
        <f>AE39/AE37</f>
        <v>#DIV/0!</v>
      </c>
      <c r="AH40" s="6" t="e">
        <f>AF39/AF37</f>
        <v>#DIV/0!</v>
      </c>
      <c r="AI40" s="6" t="e">
        <f>AH39/AH37</f>
        <v>#DIV/0!</v>
      </c>
      <c r="AJ40" s="6" t="e">
        <f>AG39/AG37</f>
        <v>#DIV/0!</v>
      </c>
      <c r="AK40" s="6">
        <f>AK39/AK37</f>
        <v>0.31764705882352939</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1</v>
      </c>
      <c r="AJ47" s="44">
        <f t="shared" si="42"/>
        <v>0.22222222222222221</v>
      </c>
      <c r="AK47" s="44">
        <f t="shared" si="42"/>
        <v>0.24008810572687223</v>
      </c>
    </row>
    <row r="48" spans="3:49" ht="14.25" customHeight="1">
      <c r="AC48" s="31"/>
      <c r="AD48" s="31" t="s">
        <v>2365</v>
      </c>
      <c r="AE48" s="44">
        <f>1-AE47</f>
        <v>1</v>
      </c>
      <c r="AF48" s="44">
        <f>1-AF47</f>
        <v>1</v>
      </c>
      <c r="AG48" s="44">
        <f>1-AG47</f>
        <v>1</v>
      </c>
      <c r="AH48" s="44">
        <f>1-AH47</f>
        <v>0</v>
      </c>
      <c r="AJ48" s="44">
        <f>1-AJ47</f>
        <v>0.77777777777777779</v>
      </c>
      <c r="AK48" s="44">
        <f>1-AK47</f>
        <v>0.75991189427312777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115</v>
      </c>
      <c r="U50" s="1">
        <v>0</v>
      </c>
      <c r="V50" s="1">
        <v>0</v>
      </c>
      <c r="W50" s="1">
        <v>0</v>
      </c>
      <c r="X50" s="1">
        <v>0</v>
      </c>
      <c r="Y50" s="1">
        <v>0</v>
      </c>
      <c r="Z50" s="1">
        <v>0</v>
      </c>
      <c r="AA50" s="5">
        <f>SUM(T50:Z50)</f>
        <v>115</v>
      </c>
      <c r="AB50" s="56"/>
      <c r="AC50" s="31"/>
      <c r="AD50" s="31" t="s">
        <v>12</v>
      </c>
      <c r="AE50" s="44">
        <f>AE10/AE14</f>
        <v>1</v>
      </c>
      <c r="AF50" s="44" t="e">
        <f t="shared" ref="AF50:AH50" si="44">AF10/AF14</f>
        <v>#DIV/0!</v>
      </c>
      <c r="AG50" s="44">
        <f t="shared" si="44"/>
        <v>1</v>
      </c>
      <c r="AH50" s="44">
        <f t="shared" si="44"/>
        <v>0</v>
      </c>
      <c r="AJ50" s="44">
        <f>AI10/AI14</f>
        <v>0.77777777777777779</v>
      </c>
      <c r="AK50" s="44">
        <f>AJ10/AJ14</f>
        <v>0.75991189427312777</v>
      </c>
      <c r="AL50" s="31"/>
      <c r="AM50" s="31"/>
      <c r="AN50" s="31"/>
      <c r="AO50" s="31"/>
    </row>
    <row r="51" spans="3:48" ht="14.25" customHeight="1">
      <c r="C51" s="323"/>
      <c r="D51" s="323"/>
      <c r="E51" s="323"/>
      <c r="F51" s="323"/>
      <c r="G51" s="323"/>
      <c r="H51" s="323"/>
      <c r="I51" s="323"/>
      <c r="J51" s="323"/>
      <c r="K51" s="323"/>
      <c r="S51" s="33" t="s">
        <v>1981</v>
      </c>
      <c r="T51" s="1">
        <v>50</v>
      </c>
      <c r="U51" s="1">
        <v>0</v>
      </c>
      <c r="V51" s="1">
        <v>0</v>
      </c>
      <c r="W51" s="1">
        <v>0</v>
      </c>
      <c r="X51" s="1">
        <v>0</v>
      </c>
      <c r="Y51" s="1">
        <v>0</v>
      </c>
      <c r="Z51" s="1">
        <v>0</v>
      </c>
      <c r="AA51" s="5">
        <f t="shared" ref="AA51:AA54" si="45">SUM(T51:Z51)</f>
        <v>50</v>
      </c>
      <c r="AB51" s="56"/>
      <c r="AD51" s="31" t="s">
        <v>1981</v>
      </c>
      <c r="AE51" s="44">
        <f>AE11/AE14</f>
        <v>0</v>
      </c>
      <c r="AF51" s="44" t="e">
        <f t="shared" ref="AF51:AH51" si="46">AF11/AF14</f>
        <v>#DIV/0!</v>
      </c>
      <c r="AG51" s="44">
        <f t="shared" si="46"/>
        <v>0</v>
      </c>
      <c r="AH51" s="44">
        <f t="shared" si="46"/>
        <v>1</v>
      </c>
      <c r="AJ51" s="44">
        <f>AI11/AI14</f>
        <v>0.22222222222222221</v>
      </c>
      <c r="AK51" s="44">
        <f>AJ11/AJ14</f>
        <v>0.19823788546255505</v>
      </c>
      <c r="AL51" s="31"/>
      <c r="AM51" s="31"/>
      <c r="AN51" s="31"/>
      <c r="AO51" s="31"/>
    </row>
    <row r="52" spans="3:48">
      <c r="S52" s="33" t="s">
        <v>1982</v>
      </c>
      <c r="T52" s="1">
        <v>4</v>
      </c>
      <c r="U52" s="1">
        <v>0</v>
      </c>
      <c r="V52" s="1">
        <v>0</v>
      </c>
      <c r="W52" s="1">
        <v>0</v>
      </c>
      <c r="X52" s="1">
        <v>0</v>
      </c>
      <c r="Y52" s="1">
        <v>0</v>
      </c>
      <c r="Z52" s="1">
        <v>0</v>
      </c>
      <c r="AA52" s="5">
        <f t="shared" si="45"/>
        <v>4</v>
      </c>
      <c r="AD52" s="31" t="s">
        <v>1982</v>
      </c>
      <c r="AE52" s="44">
        <f>AE12/AE14</f>
        <v>0</v>
      </c>
      <c r="AF52" s="44" t="e">
        <f t="shared" ref="AF52:AH52" si="47">AF12/AF14</f>
        <v>#DIV/0!</v>
      </c>
      <c r="AG52" s="44">
        <f t="shared" si="47"/>
        <v>0</v>
      </c>
      <c r="AH52" s="44">
        <f t="shared" si="47"/>
        <v>0</v>
      </c>
      <c r="AJ52" s="44">
        <f>AI12/AI14</f>
        <v>0</v>
      </c>
      <c r="AK52" s="44">
        <f>AJ12/AJ14</f>
        <v>4.185022026431718E-2</v>
      </c>
      <c r="AL52" s="31"/>
      <c r="AM52" s="31"/>
      <c r="AN52" s="31"/>
      <c r="AO52" s="31"/>
    </row>
    <row r="53" spans="3:48" ht="18" customHeight="1">
      <c r="C53" s="301" t="str">
        <f>"Chart 4a. "&amp;City_label&amp;" total housing cost burden by racial and ethnic group, 2019"</f>
        <v>Chart 4a. North Bonneville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170</v>
      </c>
      <c r="U54" s="1">
        <v>0</v>
      </c>
      <c r="V54" s="1">
        <v>0</v>
      </c>
      <c r="W54" s="1">
        <v>0</v>
      </c>
      <c r="X54" s="1">
        <v>0</v>
      </c>
      <c r="Y54" s="1">
        <v>0</v>
      </c>
      <c r="Z54" s="1">
        <v>0</v>
      </c>
      <c r="AA54" s="37">
        <f t="shared" si="45"/>
        <v>170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100%</v>
      </c>
      <c r="AJ54" s="31" t="str">
        <f>"Total Cost Burdened: "&amp;TEXT(AJ47,"0%")</f>
        <v>Total Cost Burdened: 22%</v>
      </c>
      <c r="AK54" s="31" t="str">
        <f>"Total Cost Burdened: "&amp;TEXT(AK47,"0%")</f>
        <v>Total Cost Burdened: 24%</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54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0.22222222222222221</v>
      </c>
      <c r="AK56" s="44">
        <f t="shared" si="50"/>
        <v>0.19642857142857142</v>
      </c>
      <c r="AL56" s="31"/>
      <c r="AM56" s="31"/>
      <c r="AN56" s="31"/>
      <c r="AO56" s="31"/>
    </row>
    <row r="57" spans="3:48" ht="14.25" customHeight="1">
      <c r="AD57" s="31" t="s">
        <v>2365</v>
      </c>
      <c r="AE57" s="44">
        <f>1-AE56</f>
        <v>1</v>
      </c>
      <c r="AF57" s="44">
        <f>1-AF56</f>
        <v>1</v>
      </c>
      <c r="AG57" s="44">
        <f>1-AG56</f>
        <v>1</v>
      </c>
      <c r="AH57" s="44">
        <f>1-AH56</f>
        <v>0</v>
      </c>
      <c r="AJ57" s="44">
        <f>1-AJ56</f>
        <v>0.77777777777777779</v>
      </c>
      <c r="AK57" s="44">
        <f>1-AK56</f>
        <v>0.8035714285714286</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1</v>
      </c>
      <c r="AH59" s="44">
        <f t="shared" si="52"/>
        <v>0</v>
      </c>
      <c r="AJ59" s="44">
        <f>AI22/AI26</f>
        <v>0.77777777777777779</v>
      </c>
      <c r="AK59" s="44">
        <f>AJ22/AJ26</f>
        <v>0.8214285714285714</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1</v>
      </c>
      <c r="AJ60" s="44">
        <f>AI23/AI26</f>
        <v>0.22222222222222221</v>
      </c>
      <c r="AK60" s="44">
        <f>AJ23/AJ26</f>
        <v>0.14285714285714285</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5.3571428571428568E-2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22%</v>
      </c>
      <c r="AK63" s="31" t="str">
        <f>"Total Cost Burdened: "&amp;TEXT(AK56,"0%")</f>
        <v>Total Cost Burdened: 20%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0.31764705882352939</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0.68235294117647061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0.67647058823529416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0.29411764705882354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2.3529411764705882E-2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32%</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North Bonneville number of owner households by race and cost burden, 2019</v>
      </c>
      <c r="D76" s="301"/>
      <c r="E76" s="301"/>
      <c r="F76" s="301"/>
      <c r="G76" s="301"/>
      <c r="H76" s="301"/>
      <c r="I76" s="301"/>
      <c r="J76" s="301"/>
      <c r="K76" s="301"/>
      <c r="L76" s="301"/>
      <c r="M76" s="301"/>
      <c r="S76" s="33" t="s">
        <v>12</v>
      </c>
      <c r="T76" s="1">
        <v>12</v>
      </c>
      <c r="U76" s="1">
        <v>16</v>
      </c>
      <c r="V76" s="1">
        <v>12</v>
      </c>
      <c r="W76" s="1">
        <v>17</v>
      </c>
      <c r="X76" s="1">
        <v>12</v>
      </c>
      <c r="Y76" s="1">
        <v>12</v>
      </c>
      <c r="Z76" s="1">
        <v>56</v>
      </c>
    </row>
    <row r="77" spans="3:48">
      <c r="C77" s="301"/>
      <c r="D77" s="301"/>
      <c r="E77" s="301"/>
      <c r="F77" s="301"/>
      <c r="G77" s="301"/>
      <c r="H77" s="301"/>
      <c r="I77" s="301"/>
      <c r="J77" s="301"/>
      <c r="K77" s="301"/>
      <c r="L77" s="301"/>
      <c r="M77" s="301"/>
      <c r="S77" s="33" t="s">
        <v>1981</v>
      </c>
      <c r="T77" s="1">
        <v>12</v>
      </c>
      <c r="U77" s="1">
        <v>12</v>
      </c>
      <c r="V77" s="1">
        <v>12</v>
      </c>
      <c r="W77" s="1">
        <v>12</v>
      </c>
      <c r="X77" s="1">
        <v>8</v>
      </c>
      <c r="Y77" s="1">
        <v>12</v>
      </c>
      <c r="Z77" s="1">
        <v>25</v>
      </c>
    </row>
    <row r="78" spans="3:48">
      <c r="S78" s="33" t="s">
        <v>1982</v>
      </c>
      <c r="T78" s="1">
        <v>12</v>
      </c>
      <c r="U78" s="1">
        <v>12</v>
      </c>
      <c r="V78" s="1">
        <v>12</v>
      </c>
      <c r="W78" s="1">
        <v>12</v>
      </c>
      <c r="X78" s="1">
        <v>12</v>
      </c>
      <c r="Y78" s="1">
        <v>12</v>
      </c>
      <c r="Z78" s="1">
        <v>14</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52</v>
      </c>
      <c r="V80" s="37">
        <f t="shared" si="61"/>
        <v>48</v>
      </c>
      <c r="W80" s="37">
        <f t="shared" si="61"/>
        <v>53</v>
      </c>
      <c r="X80" s="37">
        <f t="shared" si="61"/>
        <v>44</v>
      </c>
      <c r="Y80" s="37">
        <f t="shared" si="61"/>
        <v>48</v>
      </c>
      <c r="Z80" s="37">
        <f t="shared" si="61"/>
        <v>107</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0.97264437689969596</v>
      </c>
      <c r="V83" s="6">
        <f>IFERROR((((V76/1.645)/U30)),0)</f>
        <v>0</v>
      </c>
      <c r="W83" s="6">
        <f>IFERROR((((W76/1.645)/Z30)),0)</f>
        <v>2.5835866261398177</v>
      </c>
      <c r="X83" s="6">
        <f>IFERROR((((X76/1.645)/Y30)),0)</f>
        <v>0</v>
      </c>
      <c r="Y83" s="6">
        <f>IFERROR((((Y76/1.645)/X30)),0)</f>
        <v>0</v>
      </c>
      <c r="Z83" s="6">
        <f>IFERROR((((Z76/1.645)/T30)),0)</f>
        <v>0.14801110083256244</v>
      </c>
    </row>
    <row r="84" spans="19:26">
      <c r="S84" s="33" t="s">
        <v>1981</v>
      </c>
      <c r="T84" s="6">
        <f>IFERROR((((T77/1.645)/W31)),0)</f>
        <v>0</v>
      </c>
      <c r="U84" s="6">
        <f>IFERROR((((U77/1.645)/V31)),0)</f>
        <v>0</v>
      </c>
      <c r="V84" s="6">
        <f>IFERROR((((V77/1.645)/U31)),0)</f>
        <v>0</v>
      </c>
      <c r="W84" s="6">
        <f>IFERROR((((W77/1.645)/Z31)),0)</f>
        <v>0</v>
      </c>
      <c r="X84" s="6">
        <f>IFERROR((((X77/1.645)/Y31)),0)</f>
        <v>1.21580547112462</v>
      </c>
      <c r="Y84" s="6">
        <f>IFERROR((((Y77/1.645)/X31)),0)</f>
        <v>0</v>
      </c>
      <c r="Z84" s="6">
        <f>IFERROR((((Z77/1.645)/T31)),0)</f>
        <v>0.37993920972644374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0.56737588652482274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North Bonneville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59</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34</v>
      </c>
    </row>
    <row r="102" spans="3:37">
      <c r="S102" s="33" t="s">
        <v>1982</v>
      </c>
      <c r="T102" s="1">
        <v>12</v>
      </c>
      <c r="U102" s="1">
        <v>12</v>
      </c>
      <c r="V102" s="1">
        <v>12</v>
      </c>
      <c r="W102" s="1">
        <v>12</v>
      </c>
      <c r="X102" s="1">
        <v>12</v>
      </c>
      <c r="Y102" s="1">
        <v>12</v>
      </c>
      <c r="Z102" s="1">
        <v>15</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48</v>
      </c>
      <c r="Y104" s="37">
        <f t="shared" si="62"/>
        <v>48</v>
      </c>
      <c r="Z104" s="37">
        <f t="shared" si="62"/>
        <v>120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0.31188053389718512</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0.41337386018237082</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2.2796352583586628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North Bonneville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North Bonneville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North Bonneville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0.77777777777777779</v>
      </c>
      <c r="G181" s="116">
        <f>AK50</f>
        <v>0.75991189427312777</v>
      </c>
      <c r="H181" s="269">
        <f>AE50</f>
        <v>1</v>
      </c>
      <c r="I181" s="270" t="e">
        <f>AF50</f>
        <v>#DIV/0!</v>
      </c>
      <c r="J181" s="270">
        <f>AG50</f>
        <v>1</v>
      </c>
      <c r="K181" s="270">
        <f>AH50</f>
        <v>0</v>
      </c>
    </row>
    <row r="182" spans="3:28" ht="18.75" customHeight="1">
      <c r="C182" s="29" t="s">
        <v>2364</v>
      </c>
      <c r="D182" s="29"/>
      <c r="E182" s="29"/>
      <c r="F182" s="116">
        <f>AJ47</f>
        <v>0.22222222222222221</v>
      </c>
      <c r="G182" s="116">
        <f>AK47</f>
        <v>0.24008810572687223</v>
      </c>
      <c r="H182" s="269" t="str">
        <f>AE47</f>
        <v>0</v>
      </c>
      <c r="I182" s="270" t="str">
        <f>AF47</f>
        <v>0</v>
      </c>
      <c r="J182" s="270" t="str">
        <f>AG47</f>
        <v>0</v>
      </c>
      <c r="K182" s="270">
        <f>AH47</f>
        <v>1</v>
      </c>
    </row>
    <row r="183" spans="3:28" ht="18.75" customHeight="1">
      <c r="C183" s="121" t="s">
        <v>1981</v>
      </c>
      <c r="D183" s="118"/>
      <c r="E183" s="118"/>
      <c r="F183" s="122">
        <f>AJ51</f>
        <v>0.22222222222222221</v>
      </c>
      <c r="G183" s="122">
        <f>AK51</f>
        <v>0.19823788546255505</v>
      </c>
      <c r="H183" s="271">
        <f t="shared" ref="H183:K184" si="63">AE51</f>
        <v>0</v>
      </c>
      <c r="I183" s="272" t="e">
        <f t="shared" si="63"/>
        <v>#DIV/0!</v>
      </c>
      <c r="J183" s="272">
        <f t="shared" si="63"/>
        <v>0</v>
      </c>
      <c r="K183" s="272">
        <f t="shared" si="63"/>
        <v>1</v>
      </c>
    </row>
    <row r="184" spans="3:28">
      <c r="C184" s="121" t="s">
        <v>1982</v>
      </c>
      <c r="D184" s="118"/>
      <c r="E184" s="118"/>
      <c r="F184" s="122">
        <f>AJ52</f>
        <v>0</v>
      </c>
      <c r="G184" s="122">
        <f>AK52</f>
        <v>4.185022026431718E-2</v>
      </c>
      <c r="H184" s="271">
        <f t="shared" si="63"/>
        <v>0</v>
      </c>
      <c r="I184" s="272" t="e">
        <f t="shared" si="63"/>
        <v>#DIV/0!</v>
      </c>
      <c r="J184" s="272">
        <f t="shared" si="63"/>
        <v>0</v>
      </c>
      <c r="K184" s="272">
        <f t="shared" si="63"/>
        <v>0</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0.77777777777777779</v>
      </c>
      <c r="G187" s="116">
        <f>AK59</f>
        <v>0.8214285714285714</v>
      </c>
      <c r="H187" s="269">
        <f>AE59</f>
        <v>1</v>
      </c>
      <c r="I187" s="270" t="e">
        <f>AF59</f>
        <v>#DIV/0!</v>
      </c>
      <c r="J187" s="270">
        <f>AG59</f>
        <v>1</v>
      </c>
      <c r="K187" s="270">
        <f>AH59</f>
        <v>0</v>
      </c>
      <c r="AA187" s="99"/>
      <c r="AB187" s="99"/>
    </row>
    <row r="188" spans="3:28" ht="14.25" customHeight="1">
      <c r="C188" s="29" t="s">
        <v>2364</v>
      </c>
      <c r="D188" s="29"/>
      <c r="E188" s="29"/>
      <c r="F188" s="116">
        <f>AJ56</f>
        <v>0.22222222222222221</v>
      </c>
      <c r="G188" s="116">
        <f>AK56</f>
        <v>0.19642857142857142</v>
      </c>
      <c r="H188" s="269" t="str">
        <f>AE56</f>
        <v>0%</v>
      </c>
      <c r="I188" s="270" t="str">
        <f>AF56</f>
        <v>0%</v>
      </c>
      <c r="J188" s="270" t="str">
        <f>AG56</f>
        <v>0%</v>
      </c>
      <c r="K188" s="270">
        <f>AH56</f>
        <v>1</v>
      </c>
      <c r="AA188" s="99"/>
      <c r="AB188" s="99"/>
    </row>
    <row r="189" spans="3:28" ht="14.25" customHeight="1">
      <c r="C189" s="121" t="s">
        <v>1981</v>
      </c>
      <c r="D189" s="118"/>
      <c r="E189" s="118"/>
      <c r="F189" s="122">
        <f>AJ60</f>
        <v>0.22222222222222221</v>
      </c>
      <c r="G189" s="122">
        <f>AK60</f>
        <v>0.14285714285714285</v>
      </c>
      <c r="H189" s="271">
        <f t="shared" ref="H189:K190" si="64">AE60</f>
        <v>0</v>
      </c>
      <c r="I189" s="272" t="e">
        <f t="shared" si="64"/>
        <v>#DIV/0!</v>
      </c>
      <c r="J189" s="272">
        <f t="shared" si="64"/>
        <v>0</v>
      </c>
      <c r="K189" s="272">
        <f t="shared" si="64"/>
        <v>1</v>
      </c>
      <c r="S189" s="99"/>
      <c r="T189" s="82"/>
    </row>
    <row r="190" spans="3:28" ht="14.25" customHeight="1">
      <c r="C190" s="121" t="s">
        <v>1982</v>
      </c>
      <c r="D190" s="118"/>
      <c r="E190" s="118"/>
      <c r="F190" s="122">
        <f>AJ61</f>
        <v>0</v>
      </c>
      <c r="G190" s="122">
        <f>AK61</f>
        <v>5.3571428571428568E-2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0.67647058823529416</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0.31764705882352939</v>
      </c>
      <c r="H194" s="269" t="str">
        <f>AE65</f>
        <v>0%</v>
      </c>
      <c r="I194" s="270" t="str">
        <f>AF65</f>
        <v>0%</v>
      </c>
      <c r="J194" s="270" t="str">
        <f>AG65</f>
        <v>0%</v>
      </c>
      <c r="K194" s="270" t="str">
        <f>AH65</f>
        <v>0%</v>
      </c>
    </row>
    <row r="195" spans="3:26" ht="14.25" customHeight="1">
      <c r="C195" s="121" t="s">
        <v>1981</v>
      </c>
      <c r="D195" s="118"/>
      <c r="E195" s="118"/>
      <c r="F195" s="122" t="e">
        <f>AJ69</f>
        <v>#DIV/0!</v>
      </c>
      <c r="G195" s="122">
        <f>AK69</f>
        <v>0.29411764705882354</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2.3529411764705882E-2</v>
      </c>
      <c r="H196" s="271" t="e">
        <f t="shared" si="65"/>
        <v>#DIV/0!</v>
      </c>
      <c r="I196" s="272" t="e">
        <f t="shared" si="65"/>
        <v>#DIV/0!</v>
      </c>
      <c r="J196" s="272" t="e">
        <f t="shared" si="65"/>
        <v>#DIV/0!</v>
      </c>
      <c r="K196" s="272" t="e">
        <f t="shared" si="65"/>
        <v>#DIV/0!</v>
      </c>
    </row>
    <row r="197" spans="3:26" ht="1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North Bonneville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North Bonneville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North Bonneville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North Bonneville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North Bonneville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North Bonneville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North Bonneville and Skamania County rental units by affordability and households by income, 2019</v>
      </c>
      <c r="D5" s="328"/>
      <c r="E5" s="328"/>
      <c r="F5" s="328"/>
      <c r="G5" s="328"/>
      <c r="H5" s="328"/>
      <c r="I5" s="328"/>
      <c r="J5" s="328"/>
      <c r="K5" s="328"/>
      <c r="L5" s="328"/>
      <c r="AA5" s="16" t="s">
        <v>2702</v>
      </c>
      <c r="AB5" s="304" t="str">
        <f>City</f>
        <v>North Bonneville city, Washington</v>
      </c>
      <c r="AC5" s="304"/>
      <c r="BP5" s="201"/>
      <c r="BQ5" s="333"/>
      <c r="BR5" s="334"/>
    </row>
    <row r="6" spans="3:70" ht="18" customHeight="1">
      <c r="C6" s="328"/>
      <c r="D6" s="328"/>
      <c r="E6" s="328"/>
      <c r="F6" s="328"/>
      <c r="G6" s="328"/>
      <c r="H6" s="328"/>
      <c r="I6" s="328"/>
      <c r="J6" s="328"/>
      <c r="K6" s="328"/>
      <c r="L6" s="328"/>
      <c r="AA6" s="16" t="s">
        <v>2703</v>
      </c>
      <c r="AB6" s="304" t="str">
        <f>County</f>
        <v>Skamania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North Bonneville</v>
      </c>
      <c r="G8" s="219"/>
      <c r="H8" s="218"/>
      <c r="I8" s="65" t="str">
        <f>City_label</f>
        <v>North Bonneville</v>
      </c>
      <c r="J8" s="219"/>
      <c r="K8" s="65" t="str">
        <f>County_label</f>
        <v>Skamania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North Bonneville</v>
      </c>
      <c r="AD10" s="63"/>
      <c r="AE10" s="220"/>
      <c r="AF10" s="63" t="str">
        <f>County_label</f>
        <v>Skamania County</v>
      </c>
      <c r="AG10" s="63"/>
      <c r="AH10" s="220"/>
      <c r="AK10" s="63" t="str">
        <f>City_label</f>
        <v>North Bonneville</v>
      </c>
      <c r="AL10" s="63"/>
      <c r="AM10" s="16"/>
      <c r="AN10" s="63" t="str">
        <f>County_label</f>
        <v>Skamania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45</v>
      </c>
      <c r="G11" s="208">
        <f>SUM(AD22:AE22)</f>
        <v>50</v>
      </c>
      <c r="H11" s="209"/>
      <c r="I11" s="255">
        <f>AC22/$AC$27</f>
        <v>0.26470588235294118</v>
      </c>
      <c r="J11" s="255">
        <f>SUM(AD22:AE22)/SUM($AD$27:$AE$27)</f>
        <v>0.29411764705882354</v>
      </c>
      <c r="K11" s="263">
        <f>AF22/$AF$27</f>
        <v>0.36178861788617889</v>
      </c>
      <c r="L11" s="263">
        <f>SUM(AG22:AH22)/SUM($AG$27:$AH$27)</f>
        <v>0.30894308943089432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25</v>
      </c>
      <c r="G12" s="208">
        <f t="shared" ref="G12:G14" si="1">SUM(AD23:AE23)</f>
        <v>90</v>
      </c>
      <c r="H12" s="209"/>
      <c r="I12" s="255">
        <f t="shared" ref="I12:I15" si="2">AC23/$AC$27</f>
        <v>0.14705882352941177</v>
      </c>
      <c r="J12" s="255">
        <f t="shared" ref="J12:J14" si="3">SUM(AD23:AE23)/SUM($AD$27:$AE$27)</f>
        <v>0.52941176470588236</v>
      </c>
      <c r="K12" s="263">
        <f t="shared" ref="K12:K15" si="4">AF23/$AF$27</f>
        <v>0.17073170731707318</v>
      </c>
      <c r="L12" s="263">
        <f t="shared" ref="L12:L14" si="5">SUM(AG23:AH23)/SUM($AG$27:$AH$27)</f>
        <v>0.44715447154471544</v>
      </c>
      <c r="AA12" s="7" t="s">
        <v>2827</v>
      </c>
      <c r="AC12" s="112" t="s">
        <v>7</v>
      </c>
      <c r="AD12" s="112" t="s">
        <v>1255</v>
      </c>
      <c r="AE12" s="112" t="s">
        <v>2413</v>
      </c>
      <c r="AF12" s="112" t="s">
        <v>7</v>
      </c>
      <c r="AG12" s="112" t="s">
        <v>1255</v>
      </c>
      <c r="AH12" s="112" t="s">
        <v>2413</v>
      </c>
      <c r="AJ12" s="7" t="s">
        <v>2827</v>
      </c>
      <c r="AK12" s="222">
        <f>AC22/$AC$27</f>
        <v>0.26470588235294118</v>
      </c>
      <c r="AL12" s="222">
        <f>SUM(AD22:AE22)/SUM($AD$27:$AE$27)</f>
        <v>0.29411764705882354</v>
      </c>
      <c r="AN12" s="222">
        <f>AF22/AF$27</f>
        <v>0.36178861788617889</v>
      </c>
      <c r="AO12" s="222">
        <f>SUM(AG22:AH22)/SUM($AG$27:$AH$27)</f>
        <v>0.30894308943089432</v>
      </c>
      <c r="BA12" s="316"/>
      <c r="BB12" s="316"/>
      <c r="BC12" s="316"/>
      <c r="BD12" s="316"/>
      <c r="BE12" s="316"/>
      <c r="BF12" s="316"/>
      <c r="BG12" s="316"/>
      <c r="BH12" s="316"/>
      <c r="BI12" s="316"/>
      <c r="BJ12" s="316"/>
      <c r="BK12" s="316"/>
      <c r="BL12" s="316"/>
    </row>
    <row r="13" spans="3:70" ht="18" customHeight="1">
      <c r="C13" s="43" t="s">
        <v>1980</v>
      </c>
      <c r="D13" s="29"/>
      <c r="E13" s="29"/>
      <c r="F13" s="208">
        <f t="shared" si="0"/>
        <v>50</v>
      </c>
      <c r="G13" s="208">
        <f t="shared" si="1"/>
        <v>30</v>
      </c>
      <c r="H13" s="209"/>
      <c r="I13" s="255">
        <f t="shared" si="2"/>
        <v>0.29411764705882354</v>
      </c>
      <c r="J13" s="255">
        <f t="shared" si="3"/>
        <v>0.17647058823529413</v>
      </c>
      <c r="K13" s="263">
        <f t="shared" si="4"/>
        <v>0.15853658536585366</v>
      </c>
      <c r="L13" s="263">
        <f t="shared" si="5"/>
        <v>0.23170731707317074</v>
      </c>
      <c r="AA13" s="7" t="s">
        <v>2828</v>
      </c>
      <c r="AC13" s="112" t="s">
        <v>8</v>
      </c>
      <c r="AD13" s="112" t="s">
        <v>1256</v>
      </c>
      <c r="AE13" s="112" t="s">
        <v>2414</v>
      </c>
      <c r="AF13" s="112" t="s">
        <v>8</v>
      </c>
      <c r="AG13" s="112" t="s">
        <v>1256</v>
      </c>
      <c r="AH13" s="112" t="s">
        <v>2414</v>
      </c>
      <c r="AJ13" s="7" t="s">
        <v>2828</v>
      </c>
      <c r="AK13" s="222">
        <f>AC23/$AC$27</f>
        <v>0.14705882352941177</v>
      </c>
      <c r="AL13" s="222">
        <f t="shared" ref="AL13:AL15" si="6">SUM(AD23:AE23)/SUM($AD$27:$AE$27)</f>
        <v>0.52941176470588236</v>
      </c>
      <c r="AN13" s="222">
        <f t="shared" ref="AN13:AN14" si="7">AF23/AF$27</f>
        <v>0.17073170731707318</v>
      </c>
      <c r="AO13" s="222">
        <f t="shared" ref="AO13:AO15" si="8">SUM(AG23:AH23)/SUM($AG$27:$AH$27)</f>
        <v>0.44715447154471544</v>
      </c>
    </row>
    <row r="14" spans="3:70" ht="18" customHeight="1">
      <c r="C14" s="43" t="s">
        <v>2816</v>
      </c>
      <c r="D14" s="29"/>
      <c r="E14" s="29"/>
      <c r="F14" s="210">
        <f t="shared" si="0"/>
        <v>20</v>
      </c>
      <c r="G14" s="208">
        <f t="shared" si="1"/>
        <v>0</v>
      </c>
      <c r="H14" s="211"/>
      <c r="I14" s="255">
        <f t="shared" si="2"/>
        <v>0.11764705882352941</v>
      </c>
      <c r="J14" s="255">
        <f t="shared" si="3"/>
        <v>0</v>
      </c>
      <c r="K14" s="263">
        <f t="shared" si="4"/>
        <v>0.10569105691056911</v>
      </c>
      <c r="L14" s="263">
        <f t="shared" si="5"/>
        <v>8.130081300813009E-3</v>
      </c>
      <c r="AA14" s="7" t="s">
        <v>2829</v>
      </c>
      <c r="AC14" s="112" t="s">
        <v>9</v>
      </c>
      <c r="AD14" s="112" t="s">
        <v>1257</v>
      </c>
      <c r="AE14" s="112" t="s">
        <v>2415</v>
      </c>
      <c r="AF14" s="112" t="s">
        <v>9</v>
      </c>
      <c r="AG14" s="112" t="s">
        <v>1257</v>
      </c>
      <c r="AH14" s="112" t="s">
        <v>2415</v>
      </c>
      <c r="AJ14" s="7" t="s">
        <v>2829</v>
      </c>
      <c r="AK14" s="222">
        <f>AC24/$AC$27</f>
        <v>0.29411764705882354</v>
      </c>
      <c r="AL14" s="222">
        <f t="shared" si="6"/>
        <v>0.17647058823529413</v>
      </c>
      <c r="AN14" s="222">
        <f t="shared" si="7"/>
        <v>0.15853658536585366</v>
      </c>
      <c r="AO14" s="222">
        <f t="shared" si="8"/>
        <v>0.23170731707317074</v>
      </c>
      <c r="BP14" s="185"/>
      <c r="BQ14" s="185"/>
      <c r="BR14" s="185"/>
    </row>
    <row r="15" spans="3:70" ht="18" customHeight="1">
      <c r="C15" s="70" t="s">
        <v>2818</v>
      </c>
      <c r="D15" s="70"/>
      <c r="E15" s="70"/>
      <c r="F15" s="212">
        <f t="shared" si="0"/>
        <v>25</v>
      </c>
      <c r="G15" s="212">
        <f>AD26</f>
        <v>0</v>
      </c>
      <c r="H15" s="213"/>
      <c r="I15" s="264">
        <f t="shared" si="2"/>
        <v>0.14705882352941177</v>
      </c>
      <c r="J15" s="264"/>
      <c r="K15" s="265">
        <f t="shared" si="4"/>
        <v>0.1951219512195122</v>
      </c>
      <c r="L15" s="265"/>
      <c r="AA15" s="7" t="s">
        <v>2831</v>
      </c>
      <c r="AC15" s="112" t="s">
        <v>10</v>
      </c>
      <c r="AD15" s="112" t="s">
        <v>1258</v>
      </c>
      <c r="AE15" s="112" t="s">
        <v>2416</v>
      </c>
      <c r="AF15" s="112" t="s">
        <v>10</v>
      </c>
      <c r="AG15" s="112" t="s">
        <v>1258</v>
      </c>
      <c r="AH15" s="112" t="s">
        <v>2416</v>
      </c>
      <c r="AJ15" s="7" t="s">
        <v>2831</v>
      </c>
      <c r="AK15" s="224">
        <f>SUM(AC25:AC26)/$AC$27</f>
        <v>0.26470588235294118</v>
      </c>
      <c r="AL15" s="224">
        <f t="shared" si="6"/>
        <v>0</v>
      </c>
      <c r="AM15" s="35"/>
      <c r="AN15" s="224">
        <f>SUM(AF25:AF26)/AF$27</f>
        <v>0.30081300813008133</v>
      </c>
      <c r="AO15" s="224">
        <f t="shared" si="8"/>
        <v>8.130081300813009E-3</v>
      </c>
      <c r="BA15" s="7"/>
      <c r="BP15" s="185"/>
      <c r="BQ15" s="337" t="s">
        <v>2813</v>
      </c>
      <c r="BR15" s="338"/>
    </row>
    <row r="16" spans="3:70" ht="18" customHeight="1">
      <c r="C16" s="81" t="s">
        <v>1</v>
      </c>
      <c r="D16" s="16"/>
      <c r="E16" s="16"/>
      <c r="F16" s="221">
        <f t="shared" si="0"/>
        <v>170</v>
      </c>
      <c r="G16" s="221">
        <f>SUM(G11:G15)</f>
        <v>170</v>
      </c>
      <c r="AA16" s="28" t="s">
        <v>2725</v>
      </c>
      <c r="AC16" s="112" t="s">
        <v>11</v>
      </c>
      <c r="AD16" s="112"/>
      <c r="AE16" s="112"/>
      <c r="AF16" s="112" t="s">
        <v>11</v>
      </c>
      <c r="AG16" s="112"/>
      <c r="AH16" s="112"/>
      <c r="AJ16" s="28"/>
      <c r="AK16" s="223">
        <f>SUM(AK12:AK15)</f>
        <v>0.97058823529411753</v>
      </c>
      <c r="AL16" s="223">
        <f>SUM(AL12:AL15)</f>
        <v>1</v>
      </c>
      <c r="AN16" s="223">
        <f t="shared" ref="AN16:AO16" si="9">SUM(AN12:AN15)</f>
        <v>0.99186991869918706</v>
      </c>
      <c r="AO16" s="223">
        <f t="shared" si="9"/>
        <v>0.99593495934959353</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North Bonneville and Skamania County renter household income compared to rental unit affordability, 2019</v>
      </c>
      <c r="D20" s="301"/>
      <c r="E20" s="301"/>
      <c r="F20" s="301"/>
      <c r="G20" s="301"/>
      <c r="H20" s="301"/>
      <c r="I20" s="301"/>
      <c r="J20" s="301"/>
      <c r="K20" s="301"/>
      <c r="L20" s="301"/>
      <c r="AA20" s="31"/>
      <c r="AC20" s="63" t="str">
        <f>City_label</f>
        <v>North Bonneville</v>
      </c>
      <c r="AD20" s="63"/>
      <c r="AE20" s="63"/>
      <c r="AF20" s="63" t="str">
        <f>County_label</f>
        <v>Skamania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45</v>
      </c>
      <c r="AD22" s="1">
        <v>50</v>
      </c>
      <c r="AE22" s="1">
        <v>0</v>
      </c>
      <c r="AF22" s="1">
        <v>445</v>
      </c>
      <c r="AG22" s="1">
        <v>350</v>
      </c>
      <c r="AH22" s="1">
        <v>30</v>
      </c>
    </row>
    <row r="23" spans="3:71" ht="17.25" customHeight="1">
      <c r="AA23" s="7" t="s">
        <v>2828</v>
      </c>
      <c r="AC23" s="1">
        <v>25</v>
      </c>
      <c r="AD23" s="1">
        <v>90</v>
      </c>
      <c r="AE23" s="1">
        <v>0</v>
      </c>
      <c r="AF23" s="1">
        <v>210</v>
      </c>
      <c r="AG23" s="1">
        <v>535</v>
      </c>
      <c r="AH23" s="1">
        <v>15</v>
      </c>
    </row>
    <row r="24" spans="3:71" ht="17.25" customHeight="1">
      <c r="C24" s="51"/>
      <c r="AA24" s="7" t="s">
        <v>2829</v>
      </c>
      <c r="AC24" s="1">
        <v>50</v>
      </c>
      <c r="AD24" s="1">
        <v>30</v>
      </c>
      <c r="AE24" s="1">
        <v>0</v>
      </c>
      <c r="AF24" s="1">
        <v>195</v>
      </c>
      <c r="AG24" s="1">
        <v>285</v>
      </c>
      <c r="AH24" s="1">
        <v>0</v>
      </c>
    </row>
    <row r="25" spans="3:71" ht="17.25" customHeight="1">
      <c r="C25" s="51"/>
      <c r="AA25" s="7" t="s">
        <v>2831</v>
      </c>
      <c r="AC25" s="1">
        <v>20</v>
      </c>
      <c r="AD25" s="1">
        <v>0</v>
      </c>
      <c r="AE25" s="1">
        <v>0</v>
      </c>
      <c r="AF25" s="1">
        <v>130</v>
      </c>
      <c r="AG25" s="1">
        <v>10</v>
      </c>
      <c r="AH25" s="1">
        <v>0</v>
      </c>
    </row>
    <row r="26" spans="3:71" ht="17.25" customHeight="1">
      <c r="C26" s="51"/>
      <c r="AA26" s="28" t="s">
        <v>2725</v>
      </c>
      <c r="AC26" s="1">
        <v>25</v>
      </c>
      <c r="AD26" s="1"/>
      <c r="AE26" s="1"/>
      <c r="AF26" s="1">
        <v>240</v>
      </c>
      <c r="AG26" s="1"/>
      <c r="AH26" s="1"/>
      <c r="AI26" s="31"/>
    </row>
    <row r="27" spans="3:71" ht="18">
      <c r="C27" s="51"/>
      <c r="AA27" s="7" t="s">
        <v>2</v>
      </c>
      <c r="AC27" s="2">
        <v>170</v>
      </c>
      <c r="AD27" s="1">
        <v>170</v>
      </c>
      <c r="AE27" s="1">
        <v>0</v>
      </c>
      <c r="AF27" s="2">
        <v>1230</v>
      </c>
      <c r="AG27" s="1">
        <v>1180</v>
      </c>
      <c r="AH27" s="1">
        <v>50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45</v>
      </c>
      <c r="AD35" s="33">
        <f>SUM(AD22:AE22)</f>
        <v>50</v>
      </c>
      <c r="AE35" s="188">
        <f>AD35-AC35</f>
        <v>5</v>
      </c>
      <c r="AF35" s="31"/>
      <c r="AG35" s="5">
        <f>MAX(AC35,AD35)</f>
        <v>50</v>
      </c>
      <c r="AH35" s="5">
        <f>AG35+$AH$39</f>
        <v>55</v>
      </c>
      <c r="AI35" t="str">
        <f>IF(AE35&lt;0,"Shortfall:",IF(AE35&gt;0,"Surplus: ",""))&amp;CHAR(10)&amp;TEXT((AE35),"+#,##0;-#,##0;0")&amp;" units"</f>
        <v>Surplus: 
+5 units</v>
      </c>
    </row>
    <row r="36" spans="3:39">
      <c r="AA36" s="7" t="s">
        <v>2828</v>
      </c>
      <c r="AB36" s="164" t="s">
        <v>1271</v>
      </c>
      <c r="AC36" s="5">
        <f>AC23</f>
        <v>25</v>
      </c>
      <c r="AD36" s="33">
        <f>SUM(AD23:AE23)</f>
        <v>90</v>
      </c>
      <c r="AE36" s="188">
        <f>AD36-AC36</f>
        <v>65</v>
      </c>
      <c r="AF36" s="31"/>
      <c r="AG36" s="5">
        <f>MAX(AC36,AD36)</f>
        <v>90</v>
      </c>
      <c r="AH36" s="5">
        <f>AG36+$AH$39</f>
        <v>95</v>
      </c>
      <c r="AI36" t="str">
        <f>IF(AE36&lt;0,"Shortfall:",IF(AE36&gt;0,"Surplus: ",""))&amp;CHAR(10)&amp;TEXT((AE36),"+#,##0;-#,##0;0")&amp;" units"</f>
        <v>Surplus: 
+65 units</v>
      </c>
    </row>
    <row r="37" spans="3:39">
      <c r="AA37" s="7" t="s">
        <v>2829</v>
      </c>
      <c r="AB37" s="164" t="s">
        <v>1272</v>
      </c>
      <c r="AC37" s="5">
        <f>AC24</f>
        <v>50</v>
      </c>
      <c r="AD37" s="33">
        <f>SUM(AD24:AE24)</f>
        <v>30</v>
      </c>
      <c r="AE37" s="188">
        <f>AD37-AC37</f>
        <v>-20</v>
      </c>
      <c r="AF37" s="31"/>
      <c r="AG37" s="5">
        <f>MAX(AC37,AD37)</f>
        <v>50</v>
      </c>
      <c r="AH37" s="5">
        <f>AG37+$AH$39</f>
        <v>55</v>
      </c>
      <c r="AI37" t="str">
        <f>IF(AE37&lt;0,"Shortfall:",IF(AE37&gt;0,"Surplus: ",""))&amp;CHAR(10)&amp;TEXT((AE37),"+#,##0;-#,##0;0")&amp;" units"</f>
        <v>Shortfall:
-20 units</v>
      </c>
    </row>
    <row r="38" spans="3:39">
      <c r="AA38" s="7" t="s">
        <v>2831</v>
      </c>
      <c r="AB38" s="164" t="s">
        <v>1273</v>
      </c>
      <c r="AC38" s="5">
        <f>SUM(AC25:AC26)</f>
        <v>45</v>
      </c>
      <c r="AD38" s="33">
        <f>SUM(AD25:AE25)</f>
        <v>0</v>
      </c>
      <c r="AE38" s="188">
        <f>AD38-AC38</f>
        <v>-45</v>
      </c>
      <c r="AF38" s="31"/>
      <c r="AG38" s="5">
        <f>MAX(AC38,AD38)</f>
        <v>45</v>
      </c>
      <c r="AH38" s="5">
        <f>AG38+$AH$39</f>
        <v>50</v>
      </c>
      <c r="AI38" t="str">
        <f>IF(AE38&lt;0,"Shortfall:",IF(AE38&gt;0,"Surplus: ",""))&amp;CHAR(10)&amp;TEXT((AE38),"+#,##0;-#,##0;0")&amp;" units"</f>
        <v>Shortfall:
-45 units</v>
      </c>
    </row>
    <row r="39" spans="3:39">
      <c r="AA39" s="28" t="s">
        <v>2725</v>
      </c>
      <c r="AC39" s="5">
        <f>AC27</f>
        <v>170</v>
      </c>
      <c r="AD39" s="33">
        <f>SUM(AD27:AE27)</f>
        <v>170</v>
      </c>
      <c r="AE39" s="33"/>
      <c r="AF39" s="31"/>
      <c r="AG39" s="59" t="s">
        <v>2682</v>
      </c>
      <c r="AH39" s="109">
        <f>0.1*MAX(AC35:AC37)</f>
        <v>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North Bonneville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75</v>
      </c>
      <c r="AD55" s="1">
        <v>35</v>
      </c>
      <c r="AE55" s="1">
        <v>4</v>
      </c>
    </row>
    <row r="56" spans="27:39">
      <c r="AA56" s="7" t="s">
        <v>2828</v>
      </c>
      <c r="AB56" s="31" t="s">
        <v>1271</v>
      </c>
      <c r="AC56" s="1">
        <v>30</v>
      </c>
      <c r="AD56" s="1">
        <v>90</v>
      </c>
      <c r="AE56" s="1">
        <v>10</v>
      </c>
    </row>
    <row r="57" spans="27:39">
      <c r="AA57" s="7" t="s">
        <v>2829</v>
      </c>
      <c r="AB57" s="31" t="s">
        <v>1272</v>
      </c>
      <c r="AC57" s="1">
        <v>15</v>
      </c>
      <c r="AD57" s="1">
        <v>70</v>
      </c>
      <c r="AE57" s="1">
        <v>0</v>
      </c>
    </row>
    <row r="58" spans="27:39">
      <c r="AA58" s="7" t="s">
        <v>2831</v>
      </c>
      <c r="AB58" s="31" t="s">
        <v>1273</v>
      </c>
      <c r="AC58" s="1">
        <v>40</v>
      </c>
      <c r="AD58" s="1">
        <v>15</v>
      </c>
      <c r="AE58" s="1">
        <v>0</v>
      </c>
    </row>
    <row r="59" spans="27:39">
      <c r="AA59" s="28" t="s">
        <v>2725</v>
      </c>
      <c r="AB59" s="31"/>
      <c r="AC59" s="1">
        <v>55</v>
      </c>
      <c r="AD59" s="1"/>
      <c r="AE59" s="1"/>
    </row>
    <row r="60" spans="27:39" ht="15">
      <c r="AA60" s="7" t="s">
        <v>2</v>
      </c>
      <c r="AB60" s="31"/>
      <c r="AC60" s="2">
        <v>215</v>
      </c>
      <c r="AD60" s="2">
        <v>210</v>
      </c>
      <c r="AE60" s="2">
        <v>15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75</v>
      </c>
      <c r="AD65" s="33">
        <f>SUM(AD55:AE55)</f>
        <v>39</v>
      </c>
      <c r="AE65" s="97">
        <f>AD65-AC65</f>
        <v>-36</v>
      </c>
      <c r="AF65" s="31"/>
      <c r="AG65" s="5">
        <f>MAX(AC65,AD65)</f>
        <v>75</v>
      </c>
      <c r="AH65" s="5">
        <f>AG65+$AH$39</f>
        <v>80</v>
      </c>
      <c r="AI65" t="str">
        <f>IF(AE65&lt;0,"Shortfall:",IF(AE65&gt;0,"Surplus: ",""))&amp;CHAR(10)&amp;TEXT((AE65),"+#,##0;-#,##0;0")&amp;" units"</f>
        <v>Shortfall:
-36 units</v>
      </c>
      <c r="AK65" s="31"/>
      <c r="AL65" s="31"/>
      <c r="AM65" s="31"/>
    </row>
    <row r="66" spans="3:39" ht="15">
      <c r="AA66" s="7"/>
      <c r="AB66" s="31" t="s">
        <v>1271</v>
      </c>
      <c r="AC66" s="5">
        <f>SUM(AC56)</f>
        <v>30</v>
      </c>
      <c r="AD66" s="33">
        <f>SUM(AD56:AE56)</f>
        <v>100</v>
      </c>
      <c r="AE66" s="97">
        <f>AD66-AC66</f>
        <v>70</v>
      </c>
      <c r="AF66" s="31"/>
      <c r="AG66" s="5">
        <f>MAX(AC66,AD66)</f>
        <v>100</v>
      </c>
      <c r="AH66" s="5">
        <f>AG66+$AH$39</f>
        <v>105</v>
      </c>
      <c r="AI66" t="str">
        <f>IF(AE66&lt;0,"Shortfall:",IF(AE66&gt;0,"Surplus: ",""))&amp;CHAR(10)&amp;TEXT((AE66),"+#,##0;-#,##0;0")&amp;" units"</f>
        <v>Surplus: 
+70 units</v>
      </c>
      <c r="AK66" s="31"/>
      <c r="AL66" s="31"/>
      <c r="AM66" s="31"/>
    </row>
    <row r="67" spans="3:39" ht="15">
      <c r="AA67" s="7"/>
      <c r="AB67" s="31" t="s">
        <v>1272</v>
      </c>
      <c r="AC67" s="5">
        <f>SUM(AC57)</f>
        <v>15</v>
      </c>
      <c r="AD67" s="33">
        <f>SUM(AD57:AE57)</f>
        <v>70</v>
      </c>
      <c r="AE67" s="97">
        <f>AD67-AC67</f>
        <v>55</v>
      </c>
      <c r="AF67" s="31"/>
      <c r="AG67" s="5">
        <f>MAX(AC67,AD67)</f>
        <v>70</v>
      </c>
      <c r="AH67" s="5">
        <f>AG67+$AH$39</f>
        <v>75</v>
      </c>
      <c r="AI67" t="str">
        <f>IF(AE67&lt;0,"Shortfall:",IF(AE67&gt;0,"Surplus: ",""))&amp;CHAR(10)&amp;TEXT((AE67),"+#,##0;-#,##0;0")&amp;" units"</f>
        <v>Surplus: 
+55 units</v>
      </c>
      <c r="AK67" s="31"/>
      <c r="AL67" s="31"/>
      <c r="AM67" s="31"/>
    </row>
    <row r="68" spans="3:39" ht="18.75" customHeight="1">
      <c r="D68" s="200"/>
      <c r="E68" s="200"/>
      <c r="F68" s="200"/>
      <c r="G68" s="200"/>
      <c r="H68" s="200"/>
      <c r="I68" s="200"/>
      <c r="J68" s="200"/>
      <c r="K68" s="200"/>
      <c r="L68" s="200"/>
      <c r="AA68" s="7"/>
      <c r="AB68" s="31" t="s">
        <v>1273</v>
      </c>
      <c r="AC68" s="5">
        <f>SUM(AC58:AC59)</f>
        <v>95</v>
      </c>
      <c r="AD68" s="33">
        <f>SUM(AD58:AE58)</f>
        <v>15</v>
      </c>
      <c r="AE68" s="97">
        <f>AD68-AC68</f>
        <v>-80</v>
      </c>
      <c r="AF68" s="31"/>
      <c r="AG68" s="5">
        <f>MAX(AC68,AD68)</f>
        <v>95</v>
      </c>
      <c r="AH68" s="5">
        <f>AG68+$AH$39</f>
        <v>100</v>
      </c>
      <c r="AI68" t="str">
        <f>IF(AE68&lt;0,"Shortfall:",IF(AE68&gt;0,"Surplus: ",""))&amp;CHAR(10)&amp;TEXT((AE68),"+#,##0;-#,##0;0")&amp;" units"</f>
        <v>Shortfall:
-80 units</v>
      </c>
      <c r="AK68" s="31"/>
      <c r="AL68" s="31"/>
      <c r="AM68" s="31"/>
    </row>
    <row r="69" spans="3:39" ht="18.75" customHeight="1">
      <c r="C69" s="200"/>
      <c r="D69" s="200"/>
      <c r="E69" s="200"/>
      <c r="F69" s="200"/>
      <c r="G69" s="200"/>
      <c r="H69" s="200"/>
      <c r="I69" s="200"/>
      <c r="J69" s="200"/>
      <c r="K69" s="200"/>
      <c r="L69" s="200"/>
      <c r="AA69" s="7"/>
      <c r="AB69" s="31"/>
      <c r="AC69" s="5">
        <f>AC60</f>
        <v>215</v>
      </c>
      <c r="AD69" s="33">
        <f>SUM(AD60:AE60)</f>
        <v>225</v>
      </c>
      <c r="AE69" s="33"/>
      <c r="AF69" s="31"/>
      <c r="AG69" s="59" t="s">
        <v>2682</v>
      </c>
      <c r="AH69" s="109">
        <f>0.1*MAX(AC65:AC68)</f>
        <v>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North Bonneville five year change in renter households by income and rental units by affordability, 2014 - 2019</v>
      </c>
      <c r="D78" s="328"/>
      <c r="E78" s="328"/>
      <c r="F78" s="328"/>
      <c r="G78" s="328"/>
      <c r="H78" s="328"/>
      <c r="I78" s="328"/>
      <c r="J78" s="328"/>
      <c r="K78" s="328"/>
      <c r="L78" s="328"/>
      <c r="AB78" s="31" t="s">
        <v>1270</v>
      </c>
      <c r="AC78" s="5">
        <f t="shared" ref="AC78:AD80" si="10">AC35-AC65</f>
        <v>-30</v>
      </c>
      <c r="AD78" s="5">
        <f t="shared" si="10"/>
        <v>11</v>
      </c>
      <c r="AE78" s="5">
        <f>AD78-AC78</f>
        <v>41</v>
      </c>
      <c r="AG78" s="5">
        <f>MAX(AC78,AD78)</f>
        <v>11</v>
      </c>
      <c r="AH78" s="5">
        <f>MAX(AG78,0)+$AH$82</f>
        <v>26</v>
      </c>
      <c r="AI78" t="str">
        <f>"Difference:"&amp;CHAR(10)&amp;TEXT(AE78,"+#,##0;-#,##0;0")&amp;" units"</f>
        <v>Difference:
+41 units</v>
      </c>
    </row>
    <row r="79" spans="3:39" ht="18" customHeight="1">
      <c r="C79" s="328"/>
      <c r="D79" s="328"/>
      <c r="E79" s="328"/>
      <c r="F79" s="328"/>
      <c r="G79" s="328"/>
      <c r="H79" s="328"/>
      <c r="I79" s="328"/>
      <c r="J79" s="328"/>
      <c r="K79" s="328"/>
      <c r="L79" s="328"/>
      <c r="AB79" s="31" t="s">
        <v>1271</v>
      </c>
      <c r="AC79" s="5">
        <f t="shared" si="10"/>
        <v>-5</v>
      </c>
      <c r="AD79" s="5">
        <f t="shared" si="10"/>
        <v>-10</v>
      </c>
      <c r="AE79" s="5">
        <f>AD79-AC79</f>
        <v>-5</v>
      </c>
      <c r="AG79" s="5">
        <f>MAX(AC79,AD79)</f>
        <v>-5</v>
      </c>
      <c r="AH79" s="5">
        <f>MAX(AG79,0)+$AH$82</f>
        <v>15</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35</v>
      </c>
      <c r="AD80" s="5">
        <f t="shared" si="10"/>
        <v>-40</v>
      </c>
      <c r="AE80" s="5">
        <f>AD80-AC80</f>
        <v>-75</v>
      </c>
      <c r="AG80" s="5">
        <f>MAX(AC80,AD80)</f>
        <v>35</v>
      </c>
      <c r="AH80" s="5">
        <f>MAX(AG80,0)+$AH$82</f>
        <v>50</v>
      </c>
      <c r="AI80" t="str">
        <f>"Difference:"&amp;CHAR(10)&amp;TEXT(AE80,"+#,##0;-#,##0;0")&amp;" units"</f>
        <v>Difference:
-75 units</v>
      </c>
    </row>
    <row r="81" spans="28:35">
      <c r="AB81" s="31" t="s">
        <v>1273</v>
      </c>
      <c r="AC81" s="5">
        <f>AC39-AC68</f>
        <v>75</v>
      </c>
      <c r="AD81" s="5">
        <f>AD39-AD68</f>
        <v>155</v>
      </c>
      <c r="AE81" s="5">
        <f>AD81-AC81</f>
        <v>80</v>
      </c>
      <c r="AG81" s="5">
        <f>MAX(AC81,AD81)</f>
        <v>155</v>
      </c>
      <c r="AH81" s="5">
        <f>MAX(AG81,0)+$AH$82</f>
        <v>170</v>
      </c>
      <c r="AI81" t="str">
        <f>"Difference:"&amp;CHAR(10)&amp;TEXT(AE81,"+#,##0;-#,##0;0")&amp;" units"</f>
        <v>Difference:
+80 units</v>
      </c>
    </row>
    <row r="82" spans="28:35" ht="13.9" customHeight="1">
      <c r="AG82" s="59" t="s">
        <v>2682</v>
      </c>
      <c r="AH82" s="109">
        <f>0.2*MAX(AB78:AC81)</f>
        <v>15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North Bonneville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North Bonneville count of households by income and race, 2019</v>
      </c>
      <c r="AA6" s="126" t="s">
        <v>2703</v>
      </c>
      <c r="AB6" s="360" t="str">
        <f>County_label</f>
        <v>Skamania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60</v>
      </c>
      <c r="I14" s="230">
        <f>J14-SUM(C14:H14)</f>
        <v>0</v>
      </c>
      <c r="J14" s="182">
        <f>AI101</f>
        <v>60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55</v>
      </c>
      <c r="I15" s="230">
        <f t="shared" ref="I15:I18" si="1">J15-SUM(C15:H15)</f>
        <v>0</v>
      </c>
      <c r="J15" s="182">
        <f>AI102</f>
        <v>55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115</v>
      </c>
      <c r="I16" s="230">
        <f t="shared" si="1"/>
        <v>6</v>
      </c>
      <c r="J16" s="182">
        <f>AI103</f>
        <v>125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40</v>
      </c>
      <c r="I17" s="230">
        <f t="shared" si="1"/>
        <v>0</v>
      </c>
      <c r="J17" s="182">
        <f>AI104</f>
        <v>40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10</v>
      </c>
      <c r="E18" s="207">
        <f t="shared" si="0"/>
        <v>0</v>
      </c>
      <c r="F18" s="207">
        <f t="shared" si="0"/>
        <v>0</v>
      </c>
      <c r="G18" s="207">
        <f t="shared" si="0"/>
        <v>0</v>
      </c>
      <c r="H18" s="207">
        <f t="shared" si="0"/>
        <v>180</v>
      </c>
      <c r="I18" s="231">
        <f t="shared" si="1"/>
        <v>0</v>
      </c>
      <c r="J18" s="207">
        <f>AI105</f>
        <v>190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10</v>
      </c>
      <c r="E19" s="228">
        <f t="shared" si="2"/>
        <v>0</v>
      </c>
      <c r="F19" s="228">
        <f t="shared" si="2"/>
        <v>4</v>
      </c>
      <c r="G19" s="228">
        <f t="shared" si="2"/>
        <v>0</v>
      </c>
      <c r="H19" s="228">
        <f t="shared" si="2"/>
        <v>450</v>
      </c>
      <c r="I19" s="232">
        <f t="shared" si="2"/>
        <v>6</v>
      </c>
      <c r="J19" s="228">
        <f>AI49+AI94</f>
        <v>470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3.2000000000000001E-2</v>
      </c>
      <c r="G24" s="180">
        <f t="shared" si="3"/>
        <v>0</v>
      </c>
      <c r="H24" s="180">
        <f t="shared" si="3"/>
        <v>0.92</v>
      </c>
      <c r="I24" s="180">
        <f t="shared" si="3"/>
        <v>4.8000000000000001E-2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5.2631578947368418E-2</v>
      </c>
      <c r="E26" s="181">
        <f t="shared" si="3"/>
        <v>0</v>
      </c>
      <c r="F26" s="181">
        <f t="shared" si="3"/>
        <v>0</v>
      </c>
      <c r="G26" s="181">
        <f t="shared" si="3"/>
        <v>0</v>
      </c>
      <c r="H26" s="181">
        <f t="shared" si="3"/>
        <v>0.94736842105263153</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North Bonneville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0</v>
      </c>
      <c r="AP33" s="174">
        <v>0</v>
      </c>
      <c r="AQ33" s="174">
        <v>0</v>
      </c>
      <c r="AR33" s="174">
        <v>20</v>
      </c>
      <c r="AS33" s="174">
        <v>0</v>
      </c>
      <c r="AT33" s="174">
        <v>20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20</v>
      </c>
      <c r="AH37" s="174"/>
      <c r="AI37" s="174">
        <v>20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20</v>
      </c>
      <c r="AH39" s="174"/>
      <c r="AI39" s="174">
        <v>25</v>
      </c>
      <c r="AJ39" s="86">
        <f>(SUM(AB39:AH39))-AI39</f>
        <v>-5</v>
      </c>
      <c r="AL39" s="60" t="s">
        <v>1978</v>
      </c>
      <c r="AM39" s="174">
        <v>0</v>
      </c>
      <c r="AN39" s="174">
        <v>0</v>
      </c>
      <c r="AO39" s="174">
        <v>0</v>
      </c>
      <c r="AP39" s="174">
        <v>0</v>
      </c>
      <c r="AQ39" s="174">
        <v>0</v>
      </c>
      <c r="AR39" s="174">
        <v>30</v>
      </c>
      <c r="AS39" s="174">
        <v>0</v>
      </c>
      <c r="AT39" s="174">
        <v>30</v>
      </c>
      <c r="AU39" s="86">
        <f t="shared" si="4"/>
        <v>0</v>
      </c>
      <c r="AV39" s="86"/>
      <c r="BC39" s="25"/>
      <c r="BD39" s="19"/>
      <c r="BE39" s="19"/>
      <c r="BF39" s="19"/>
      <c r="BG39" s="19"/>
      <c r="BH39" s="19"/>
    </row>
    <row r="40" spans="27:60" ht="13.9" customHeight="1">
      <c r="AB40" s="174">
        <v>4</v>
      </c>
      <c r="AC40" s="174">
        <v>0</v>
      </c>
      <c r="AD40" s="174">
        <v>0</v>
      </c>
      <c r="AE40" s="174">
        <v>0</v>
      </c>
      <c r="AF40" s="174">
        <v>0</v>
      </c>
      <c r="AG40" s="174">
        <v>45</v>
      </c>
      <c r="AH40" s="174"/>
      <c r="AI40" s="174">
        <v>50</v>
      </c>
      <c r="AJ40" s="86">
        <f>(SUM(AB40:AH40))-AI40</f>
        <v>-1</v>
      </c>
      <c r="AM40" s="174">
        <v>0</v>
      </c>
      <c r="AN40" s="174">
        <v>0</v>
      </c>
      <c r="AO40" s="174">
        <v>0</v>
      </c>
      <c r="AP40" s="174">
        <v>0</v>
      </c>
      <c r="AQ40" s="174">
        <v>0</v>
      </c>
      <c r="AR40" s="174">
        <v>35</v>
      </c>
      <c r="AS40" s="174">
        <v>0</v>
      </c>
      <c r="AT40" s="174">
        <v>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25</v>
      </c>
      <c r="AH45" s="174"/>
      <c r="AI45" s="174">
        <v>25</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10</v>
      </c>
      <c r="AE46" s="174">
        <v>0</v>
      </c>
      <c r="AF46" s="174">
        <v>0</v>
      </c>
      <c r="AG46" s="174">
        <v>130</v>
      </c>
      <c r="AH46" s="174"/>
      <c r="AI46" s="174">
        <v>140</v>
      </c>
      <c r="AJ46" s="86">
        <f>(SUM(AB46:AH46))-AI46</f>
        <v>0</v>
      </c>
      <c r="AM46" s="174">
        <v>0</v>
      </c>
      <c r="AN46" s="174">
        <v>0</v>
      </c>
      <c r="AO46" s="174">
        <v>0</v>
      </c>
      <c r="AP46" s="174">
        <v>0</v>
      </c>
      <c r="AQ46" s="174">
        <v>0</v>
      </c>
      <c r="AR46" s="174">
        <v>125</v>
      </c>
      <c r="AS46" s="174">
        <v>0</v>
      </c>
      <c r="AT46" s="174">
        <v>125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10</v>
      </c>
      <c r="AE48" s="86">
        <f t="shared" si="5"/>
        <v>0</v>
      </c>
      <c r="AF48" s="86">
        <f t="shared" si="5"/>
        <v>0</v>
      </c>
      <c r="AG48" s="86">
        <f t="shared" si="5"/>
        <v>285</v>
      </c>
      <c r="AH48" s="86">
        <f t="shared" si="5"/>
        <v>0</v>
      </c>
      <c r="AI48" s="86">
        <f t="shared" ref="AI48" si="6">SUM(AI33:AI47)</f>
        <v>305</v>
      </c>
      <c r="AJ48" s="86"/>
      <c r="AZ48" s="19"/>
      <c r="BA48" s="19"/>
      <c r="BB48" s="19"/>
      <c r="BC48" s="19"/>
      <c r="BD48" s="19"/>
    </row>
    <row r="49" spans="2:56" ht="13.9" customHeight="1">
      <c r="AA49" s="171" t="s">
        <v>2786</v>
      </c>
      <c r="AI49" s="227">
        <v>305</v>
      </c>
      <c r="AJ49" s="86">
        <f>SUM(AJ33:AJ46)</f>
        <v>-6</v>
      </c>
      <c r="AL49" s="171" t="s">
        <v>2774</v>
      </c>
      <c r="AT49" s="174">
        <v>255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15</v>
      </c>
      <c r="AH51" s="86">
        <f t="shared" si="7"/>
        <v>0</v>
      </c>
      <c r="AI51" s="86">
        <f t="shared" si="7"/>
        <v>15</v>
      </c>
      <c r="AL51" s="60" t="s">
        <v>1983</v>
      </c>
      <c r="AM51" s="86">
        <f>SUM(AM33:AM35)</f>
        <v>0</v>
      </c>
      <c r="AN51" s="86">
        <f t="shared" ref="AN51:AT51" si="8">SUM(AN33:AN35)</f>
        <v>0</v>
      </c>
      <c r="AO51" s="86">
        <f t="shared" si="8"/>
        <v>0</v>
      </c>
      <c r="AP51" s="86">
        <f t="shared" si="8"/>
        <v>0</v>
      </c>
      <c r="AQ51" s="86">
        <f t="shared" si="8"/>
        <v>0</v>
      </c>
      <c r="AR51" s="86">
        <f t="shared" si="8"/>
        <v>24</v>
      </c>
      <c r="AS51" s="5">
        <f t="shared" si="8"/>
        <v>0</v>
      </c>
      <c r="AT51" s="86">
        <f t="shared" si="8"/>
        <v>24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30</v>
      </c>
      <c r="AH52" s="86">
        <f t="shared" si="9"/>
        <v>0</v>
      </c>
      <c r="AI52" s="86">
        <f t="shared" si="9"/>
        <v>30</v>
      </c>
      <c r="AL52" s="60" t="s">
        <v>1977</v>
      </c>
      <c r="AM52" s="86">
        <f t="shared" ref="AM52:AR52" si="10">SUM(AM36:AM38)</f>
        <v>0</v>
      </c>
      <c r="AN52" s="86">
        <f t="shared" si="10"/>
        <v>0</v>
      </c>
      <c r="AO52" s="86">
        <f t="shared" si="10"/>
        <v>0</v>
      </c>
      <c r="AP52" s="86">
        <f t="shared" si="10"/>
        <v>0</v>
      </c>
      <c r="AQ52" s="86">
        <f t="shared" si="10"/>
        <v>0</v>
      </c>
      <c r="AR52" s="86">
        <f t="shared" si="10"/>
        <v>14</v>
      </c>
      <c r="AS52" s="5">
        <f>SUM(AS36:AS38)</f>
        <v>0</v>
      </c>
      <c r="AT52" s="86">
        <f>SUM(AT36:AT38)</f>
        <v>14</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65</v>
      </c>
      <c r="AH53" s="86">
        <f t="shared" si="11"/>
        <v>0</v>
      </c>
      <c r="AI53" s="86">
        <f t="shared" si="11"/>
        <v>75</v>
      </c>
      <c r="AL53" s="60" t="s">
        <v>1978</v>
      </c>
      <c r="AM53" s="86">
        <f t="shared" ref="AM53:AR53" si="12">SUM(AM39:AM41)</f>
        <v>0</v>
      </c>
      <c r="AN53" s="86">
        <f t="shared" si="12"/>
        <v>0</v>
      </c>
      <c r="AO53" s="86">
        <f t="shared" si="12"/>
        <v>0</v>
      </c>
      <c r="AP53" s="86">
        <f t="shared" si="12"/>
        <v>0</v>
      </c>
      <c r="AQ53" s="86">
        <f t="shared" si="12"/>
        <v>0</v>
      </c>
      <c r="AR53" s="86">
        <f t="shared" si="12"/>
        <v>65</v>
      </c>
      <c r="AS53" s="5">
        <f>SUM(AS39:AS41)</f>
        <v>0</v>
      </c>
      <c r="AT53" s="86">
        <f>SUM(AT39:AT41)</f>
        <v>65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20</v>
      </c>
      <c r="AH54" s="86">
        <f t="shared" si="13"/>
        <v>0</v>
      </c>
      <c r="AI54" s="86">
        <f t="shared" si="13"/>
        <v>20</v>
      </c>
      <c r="AL54" s="60" t="s">
        <v>1979</v>
      </c>
      <c r="AM54" s="86">
        <f t="shared" ref="AM54:AR54" si="14">SUM(AM42:AM44)</f>
        <v>0</v>
      </c>
      <c r="AN54" s="86">
        <f t="shared" si="14"/>
        <v>0</v>
      </c>
      <c r="AO54" s="86">
        <f t="shared" si="14"/>
        <v>0</v>
      </c>
      <c r="AP54" s="86">
        <f t="shared" si="14"/>
        <v>0</v>
      </c>
      <c r="AQ54" s="86">
        <f t="shared" si="14"/>
        <v>0</v>
      </c>
      <c r="AR54" s="86">
        <f t="shared" si="14"/>
        <v>20</v>
      </c>
      <c r="AS54" s="5">
        <f>SUM(AS42:AS44)</f>
        <v>0</v>
      </c>
      <c r="AT54" s="86">
        <f>SUM(AT42:AT44)</f>
        <v>20</v>
      </c>
      <c r="AZ54" s="19"/>
      <c r="BA54" s="19"/>
      <c r="BB54" s="19"/>
      <c r="BC54" s="19"/>
      <c r="BD54" s="19"/>
    </row>
    <row r="55" spans="2:56" ht="16.5" customHeight="1">
      <c r="B55" s="342" t="str">
        <f>"Chart 13a. "&amp;City_label&amp;" number of households by income category and race, 2019"</f>
        <v>Chart 13a. North Bonneville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10</v>
      </c>
      <c r="AE55" s="86">
        <f t="shared" si="15"/>
        <v>0</v>
      </c>
      <c r="AF55" s="86">
        <f t="shared" si="15"/>
        <v>0</v>
      </c>
      <c r="AG55" s="86">
        <f t="shared" si="15"/>
        <v>155</v>
      </c>
      <c r="AH55" s="86">
        <f t="shared" si="15"/>
        <v>0</v>
      </c>
      <c r="AI55" s="86">
        <f t="shared" si="15"/>
        <v>165</v>
      </c>
      <c r="AL55" s="60" t="s">
        <v>1897</v>
      </c>
      <c r="AM55" s="86">
        <f t="shared" ref="AM55:AR55" si="16">SUM(AM45:AM47)</f>
        <v>0</v>
      </c>
      <c r="AN55" s="86">
        <f t="shared" si="16"/>
        <v>0</v>
      </c>
      <c r="AO55" s="86">
        <f t="shared" si="16"/>
        <v>0</v>
      </c>
      <c r="AP55" s="86">
        <f t="shared" si="16"/>
        <v>0</v>
      </c>
      <c r="AQ55" s="86">
        <f t="shared" si="16"/>
        <v>0</v>
      </c>
      <c r="AR55" s="86">
        <f t="shared" si="16"/>
        <v>129</v>
      </c>
      <c r="AS55" s="5">
        <f>SUM(AS45:AS47)</f>
        <v>0</v>
      </c>
      <c r="AT55" s="86">
        <f>SUM(AT45:AT47)</f>
        <v>129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v>
      </c>
      <c r="AC56" s="128">
        <f t="shared" ref="AC56:AI56" si="17">SUM(AC51:AC55)</f>
        <v>0</v>
      </c>
      <c r="AD56" s="128">
        <f t="shared" si="17"/>
        <v>10</v>
      </c>
      <c r="AE56" s="128">
        <f t="shared" si="17"/>
        <v>0</v>
      </c>
      <c r="AF56" s="128">
        <f t="shared" si="17"/>
        <v>0</v>
      </c>
      <c r="AG56" s="128">
        <f t="shared" si="17"/>
        <v>285</v>
      </c>
      <c r="AH56" s="128">
        <f t="shared" si="17"/>
        <v>0</v>
      </c>
      <c r="AI56" s="128">
        <f t="shared" si="17"/>
        <v>305</v>
      </c>
      <c r="AJ56" s="86"/>
      <c r="AL56" s="163" t="s">
        <v>2841</v>
      </c>
      <c r="AM56" s="128">
        <f t="shared" ref="AM56:AT56" si="18">SUM(AM51:AM55)</f>
        <v>0</v>
      </c>
      <c r="AN56" s="128">
        <f t="shared" si="18"/>
        <v>0</v>
      </c>
      <c r="AO56" s="128">
        <f t="shared" si="18"/>
        <v>0</v>
      </c>
      <c r="AP56" s="128">
        <f t="shared" si="18"/>
        <v>0</v>
      </c>
      <c r="AQ56" s="128">
        <f t="shared" si="18"/>
        <v>0</v>
      </c>
      <c r="AR56" s="128">
        <f t="shared" si="18"/>
        <v>252</v>
      </c>
      <c r="AS56" s="246">
        <f>SUM(AS51:AS55)</f>
        <v>0</v>
      </c>
      <c r="AT56" s="128">
        <f t="shared" si="18"/>
        <v>252</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35</v>
      </c>
      <c r="AH76" s="174"/>
      <c r="AI76" s="174">
        <v>35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North Bonneville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10</v>
      </c>
      <c r="AH80" s="174"/>
      <c r="AI80" s="174">
        <v>10</v>
      </c>
      <c r="AJ80" s="86">
        <f t="shared" si="19"/>
        <v>0</v>
      </c>
      <c r="AL80" s="60" t="s">
        <v>2762</v>
      </c>
      <c r="AM80" s="174">
        <v>0</v>
      </c>
      <c r="AN80" s="174">
        <v>0</v>
      </c>
      <c r="AO80" s="174">
        <v>0</v>
      </c>
      <c r="AP80" s="174">
        <v>0</v>
      </c>
      <c r="AQ80" s="174">
        <v>0</v>
      </c>
      <c r="AR80" s="174">
        <v>60</v>
      </c>
      <c r="AS80" s="174">
        <v>0</v>
      </c>
      <c r="AT80" s="174">
        <v>70</v>
      </c>
      <c r="AU80" s="86">
        <f t="shared" ref="AU80:AU94" si="20">(SUM(AM80:AS80))-AT80</f>
        <v>-10</v>
      </c>
      <c r="AV80" s="86"/>
      <c r="AZ80" s="19"/>
      <c r="BA80" s="19"/>
      <c r="BB80" s="19"/>
      <c r="BC80" s="19"/>
      <c r="BD80" s="19"/>
    </row>
    <row r="81" spans="21:56" ht="16.5" customHeight="1">
      <c r="U81" s="19"/>
      <c r="W81" s="25"/>
      <c r="X81" s="19"/>
      <c r="AB81" s="174">
        <v>0</v>
      </c>
      <c r="AC81" s="174">
        <v>0</v>
      </c>
      <c r="AD81" s="174">
        <v>0</v>
      </c>
      <c r="AE81" s="174">
        <v>0</v>
      </c>
      <c r="AF81" s="174">
        <v>0</v>
      </c>
      <c r="AG81" s="174">
        <v>40</v>
      </c>
      <c r="AH81" s="174"/>
      <c r="AI81" s="174">
        <v>40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20</v>
      </c>
      <c r="AH83" s="174"/>
      <c r="AI83" s="174">
        <v>20</v>
      </c>
      <c r="AJ83" s="86">
        <f t="shared" si="19"/>
        <v>0</v>
      </c>
      <c r="AL83" s="60" t="s">
        <v>1977</v>
      </c>
      <c r="AM83" s="174">
        <v>0</v>
      </c>
      <c r="AN83" s="174">
        <v>0</v>
      </c>
      <c r="AO83" s="174">
        <v>0</v>
      </c>
      <c r="AP83" s="174">
        <v>0</v>
      </c>
      <c r="AQ83" s="174">
        <v>0</v>
      </c>
      <c r="AR83" s="174">
        <v>30</v>
      </c>
      <c r="AS83" s="174">
        <v>0</v>
      </c>
      <c r="AT83" s="174">
        <v>30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25</v>
      </c>
      <c r="AH85" s="174"/>
      <c r="AI85" s="174">
        <v>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170</v>
      </c>
      <c r="AJ87" s="86">
        <f>SUM(AJ76:AJ85)</f>
        <v>0</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45</v>
      </c>
      <c r="AH89" s="86"/>
      <c r="AI89" s="86">
        <f>SUM(AI76:AI77)</f>
        <v>45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25</v>
      </c>
      <c r="AH90" s="86"/>
      <c r="AI90" s="86">
        <f>SUM(AI78:AI79)</f>
        <v>25</v>
      </c>
      <c r="AM90" s="174">
        <v>0</v>
      </c>
      <c r="AN90" s="174">
        <v>0</v>
      </c>
      <c r="AO90" s="174">
        <v>0</v>
      </c>
      <c r="AP90" s="174">
        <v>0</v>
      </c>
      <c r="AQ90" s="174">
        <v>0</v>
      </c>
      <c r="AR90" s="174">
        <v>40</v>
      </c>
      <c r="AS90" s="174">
        <v>0</v>
      </c>
      <c r="AT90" s="174">
        <v>40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50</v>
      </c>
      <c r="AH91" s="86"/>
      <c r="AI91" s="86">
        <f>SUM(AI80:AI81)</f>
        <v>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20</v>
      </c>
      <c r="AH92" s="86"/>
      <c r="AI92" s="86">
        <f>SUM(AI82:AI83)</f>
        <v>20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25</v>
      </c>
      <c r="AH93" s="86"/>
      <c r="AI93" s="86">
        <f>SUM(AI84:AI85)</f>
        <v>25</v>
      </c>
      <c r="AM93" s="174">
        <v>0</v>
      </c>
      <c r="AN93" s="174">
        <v>10</v>
      </c>
      <c r="AO93" s="174">
        <v>0</v>
      </c>
      <c r="AP93" s="174">
        <v>0</v>
      </c>
      <c r="AQ93" s="174">
        <v>0</v>
      </c>
      <c r="AR93" s="174">
        <v>45</v>
      </c>
      <c r="AS93" s="174">
        <v>0</v>
      </c>
      <c r="AT93" s="174">
        <v>55</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165</v>
      </c>
      <c r="AH94" s="128"/>
      <c r="AI94" s="128">
        <f>SUM(AI89:AI93)</f>
        <v>165</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215</v>
      </c>
      <c r="AU96" s="86">
        <f>SUM(AU80:AU94)</f>
        <v>-10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64</v>
      </c>
      <c r="AS98" s="86">
        <f>AT98-SUM(AM98:AR98)</f>
        <v>10</v>
      </c>
      <c r="AT98" s="86">
        <f>SUM(AT80:AT82)</f>
        <v>74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30</v>
      </c>
      <c r="AS99" s="86">
        <f t="shared" ref="AS99:AS102" si="29">AT99-SUM(AM99:AR99)</f>
        <v>0</v>
      </c>
      <c r="AT99" s="86">
        <f>SUM(AT83:AT85)</f>
        <v>30</v>
      </c>
      <c r="AZ99" s="19"/>
      <c r="BA99" s="19"/>
      <c r="BB99" s="19"/>
      <c r="BC99" s="19"/>
      <c r="BD99" s="19"/>
    </row>
    <row r="100" spans="2:56" ht="18" customHeight="1">
      <c r="B100" s="342" t="str">
        <f>"Chart 14a. "&amp;City_label&amp;" distribution of households by income and race or ethnicity, 2019"</f>
        <v>Chart 14a. North Bonneville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14</v>
      </c>
      <c r="AS100" s="86">
        <f t="shared" si="29"/>
        <v>0</v>
      </c>
      <c r="AT100" s="86">
        <f>SUM(AT86:AT88)</f>
        <v>14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60</v>
      </c>
      <c r="AH101" s="244">
        <f t="shared" ref="AH101:AH105" si="31">AI101-SUM(AB101:AG101)</f>
        <v>0</v>
      </c>
      <c r="AI101" s="147">
        <f t="shared" ref="AI101:AI106" si="32">SUM(AI51,AI89)</f>
        <v>60</v>
      </c>
      <c r="AJ101" s="86"/>
      <c r="AL101" s="60" t="s">
        <v>1979</v>
      </c>
      <c r="AM101" s="86">
        <f t="shared" ref="AM101:AR101" si="33">SUM(AM89:AM91)</f>
        <v>0</v>
      </c>
      <c r="AN101" s="86">
        <f t="shared" si="33"/>
        <v>0</v>
      </c>
      <c r="AO101" s="86">
        <f t="shared" si="33"/>
        <v>0</v>
      </c>
      <c r="AP101" s="86">
        <f t="shared" si="33"/>
        <v>0</v>
      </c>
      <c r="AQ101" s="86">
        <f t="shared" si="33"/>
        <v>0</v>
      </c>
      <c r="AR101" s="86">
        <f t="shared" si="33"/>
        <v>40</v>
      </c>
      <c r="AS101" s="86">
        <f t="shared" si="29"/>
        <v>0</v>
      </c>
      <c r="AT101" s="86">
        <f>SUM(AT89:AT91)</f>
        <v>40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55</v>
      </c>
      <c r="AH102" s="244">
        <f t="shared" si="31"/>
        <v>0</v>
      </c>
      <c r="AI102" s="147">
        <f t="shared" si="32"/>
        <v>55</v>
      </c>
      <c r="AJ102" s="86"/>
      <c r="AL102" s="60" t="s">
        <v>1897</v>
      </c>
      <c r="AM102" s="86">
        <f t="shared" ref="AM102:AR102" si="40">SUM(AM92:AM94)</f>
        <v>0</v>
      </c>
      <c r="AN102" s="86">
        <f t="shared" si="40"/>
        <v>10</v>
      </c>
      <c r="AO102" s="86">
        <f t="shared" si="40"/>
        <v>0</v>
      </c>
      <c r="AP102" s="86">
        <f t="shared" si="40"/>
        <v>0</v>
      </c>
      <c r="AQ102" s="86">
        <f t="shared" si="40"/>
        <v>0</v>
      </c>
      <c r="AR102" s="86">
        <f t="shared" si="40"/>
        <v>45</v>
      </c>
      <c r="AS102" s="86">
        <f t="shared" si="29"/>
        <v>0</v>
      </c>
      <c r="AT102" s="86">
        <f>SUM(AT92:AT94)</f>
        <v>55</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115</v>
      </c>
      <c r="AH103" s="244">
        <f t="shared" si="31"/>
        <v>6</v>
      </c>
      <c r="AI103" s="147">
        <f t="shared" si="32"/>
        <v>125</v>
      </c>
      <c r="AJ103" s="86"/>
      <c r="AL103" s="163" t="s">
        <v>2841</v>
      </c>
      <c r="AM103" s="128">
        <f t="shared" ref="AM103:AT103" si="41">SUM(AM98:AM102)</f>
        <v>0</v>
      </c>
      <c r="AN103" s="128">
        <f t="shared" si="41"/>
        <v>10</v>
      </c>
      <c r="AO103" s="128">
        <f t="shared" si="41"/>
        <v>0</v>
      </c>
      <c r="AP103" s="128">
        <f t="shared" si="41"/>
        <v>0</v>
      </c>
      <c r="AQ103" s="128">
        <f t="shared" si="41"/>
        <v>0</v>
      </c>
      <c r="AR103" s="128">
        <f t="shared" si="41"/>
        <v>193</v>
      </c>
      <c r="AS103" s="128">
        <f t="shared" si="41"/>
        <v>10</v>
      </c>
      <c r="AT103" s="128">
        <f t="shared" si="41"/>
        <v>213</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40</v>
      </c>
      <c r="AH104" s="244">
        <f t="shared" si="31"/>
        <v>0</v>
      </c>
      <c r="AI104" s="147">
        <f t="shared" si="32"/>
        <v>40</v>
      </c>
      <c r="AJ104" s="86"/>
      <c r="AL104" s="169"/>
      <c r="AZ104" s="19"/>
      <c r="BA104" s="19"/>
      <c r="BB104" s="19"/>
      <c r="BC104" s="19"/>
    </row>
    <row r="105" spans="2:56" ht="18" customHeight="1">
      <c r="Z105" s="90"/>
      <c r="AA105" s="60" t="s">
        <v>1897</v>
      </c>
      <c r="AB105" s="147">
        <f t="shared" si="34"/>
        <v>0</v>
      </c>
      <c r="AC105" s="147">
        <f t="shared" si="35"/>
        <v>10</v>
      </c>
      <c r="AD105" s="147">
        <f t="shared" si="36"/>
        <v>0</v>
      </c>
      <c r="AE105" s="147">
        <f t="shared" si="37"/>
        <v>0</v>
      </c>
      <c r="AF105" s="147">
        <f t="shared" si="38"/>
        <v>0</v>
      </c>
      <c r="AG105" s="147">
        <f t="shared" si="39"/>
        <v>180</v>
      </c>
      <c r="AH105" s="244">
        <f t="shared" si="31"/>
        <v>0</v>
      </c>
      <c r="AI105" s="147">
        <f t="shared" si="32"/>
        <v>190</v>
      </c>
      <c r="AJ105" s="86"/>
      <c r="AZ105" s="19"/>
      <c r="BA105" s="19"/>
      <c r="BB105" s="19"/>
      <c r="BC105" s="19"/>
    </row>
    <row r="106" spans="2:56" ht="18" customHeight="1">
      <c r="Z106" s="90"/>
      <c r="AA106" s="127" t="s">
        <v>3</v>
      </c>
      <c r="AB106" s="177">
        <f>SUM(AF56,AF94)</f>
        <v>0</v>
      </c>
      <c r="AC106" s="177">
        <f>SUM(AD56,AD94)</f>
        <v>10</v>
      </c>
      <c r="AD106" s="177">
        <f>SUM(AC56,AC94)</f>
        <v>0</v>
      </c>
      <c r="AE106" s="177">
        <f>SUM(AB56,AB94)</f>
        <v>4</v>
      </c>
      <c r="AF106" s="177">
        <f>SUM(AE56,AE94)</f>
        <v>0</v>
      </c>
      <c r="AG106" s="177">
        <f>SUM(AG56,AG94)</f>
        <v>450</v>
      </c>
      <c r="AH106" s="114">
        <f>SUM(AH101:AH105)</f>
        <v>6</v>
      </c>
      <c r="AI106" s="177">
        <f t="shared" si="32"/>
        <v>470</v>
      </c>
      <c r="AJ106" s="86"/>
      <c r="AL106" s="7"/>
      <c r="AM106" s="7"/>
      <c r="AN106" s="7"/>
      <c r="AO106" s="7"/>
      <c r="AP106" s="7"/>
      <c r="AQ106" s="7"/>
      <c r="AR106" s="7"/>
      <c r="AS106" s="7"/>
      <c r="AT106" s="7"/>
      <c r="AU106" s="7"/>
      <c r="AV106" s="7"/>
    </row>
    <row r="107" spans="2:56" ht="18" customHeight="1">
      <c r="Z107" s="90"/>
      <c r="AA107" s="175" t="s">
        <v>2789</v>
      </c>
      <c r="AI107" s="174">
        <v>475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88</v>
      </c>
      <c r="AS109" s="245">
        <f t="shared" si="45"/>
        <v>10</v>
      </c>
      <c r="AT109" s="147">
        <f t="shared" si="45"/>
        <v>98</v>
      </c>
    </row>
    <row r="110" spans="2:56" ht="18" customHeight="1">
      <c r="AA110" s="60" t="s">
        <v>2762</v>
      </c>
      <c r="AB110" s="135">
        <f>IFERROR(AC101/AC$106,"0"%)</f>
        <v>0</v>
      </c>
      <c r="AC110" s="135">
        <f>IFERROR(AD101/AD$106,"0"%)</f>
        <v>0</v>
      </c>
      <c r="AD110" s="135">
        <f>IFERROR(AE101/AE$106, "0"%)</f>
        <v>0</v>
      </c>
      <c r="AE110" s="135">
        <f>IFERROR(AF101/AF$106, "0"%)</f>
        <v>0</v>
      </c>
      <c r="AF110" s="135">
        <f>IFERROR(AG101/AG$106, "0"%)</f>
        <v>0.13333333333333333</v>
      </c>
      <c r="AG110" s="135">
        <f>IFERROR(AI101/AI$106,"0"%)</f>
        <v>0.1276595744680851</v>
      </c>
      <c r="AH110" s="135"/>
      <c r="AL110" s="60" t="s">
        <v>1977</v>
      </c>
      <c r="AM110" s="147">
        <f t="shared" si="42"/>
        <v>0</v>
      </c>
      <c r="AN110" s="147">
        <f t="shared" si="43"/>
        <v>0</v>
      </c>
      <c r="AO110" s="147">
        <f t="shared" si="44"/>
        <v>0</v>
      </c>
      <c r="AP110" s="147">
        <f t="shared" si="45"/>
        <v>0</v>
      </c>
      <c r="AQ110" s="147">
        <f t="shared" si="45"/>
        <v>0</v>
      </c>
      <c r="AR110" s="147">
        <f t="shared" si="45"/>
        <v>44</v>
      </c>
      <c r="AS110" s="245">
        <f t="shared" si="45"/>
        <v>0</v>
      </c>
      <c r="AT110" s="147">
        <f t="shared" si="45"/>
        <v>44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0.12222222222222222</v>
      </c>
      <c r="AG111" s="135">
        <f t="shared" ref="AG111:AG114" si="48">IFERROR(AI102/AI$106,"0"%)</f>
        <v>0.11702127659574468</v>
      </c>
      <c r="AH111" s="135"/>
      <c r="AL111" s="60" t="s">
        <v>1978</v>
      </c>
      <c r="AM111" s="147">
        <f t="shared" si="42"/>
        <v>0</v>
      </c>
      <c r="AN111" s="147">
        <f t="shared" si="43"/>
        <v>0</v>
      </c>
      <c r="AO111" s="147">
        <f t="shared" si="44"/>
        <v>0</v>
      </c>
      <c r="AP111" s="147">
        <f t="shared" si="45"/>
        <v>0</v>
      </c>
      <c r="AQ111" s="147">
        <f t="shared" si="45"/>
        <v>0</v>
      </c>
      <c r="AR111" s="147">
        <f t="shared" si="45"/>
        <v>79</v>
      </c>
      <c r="AS111" s="245">
        <f t="shared" si="45"/>
        <v>0</v>
      </c>
      <c r="AT111" s="147">
        <f t="shared" si="45"/>
        <v>79</v>
      </c>
    </row>
    <row r="112" spans="2:56" ht="18" customHeight="1">
      <c r="AA112" s="60" t="s">
        <v>1978</v>
      </c>
      <c r="AB112" s="135">
        <f t="shared" si="46"/>
        <v>0</v>
      </c>
      <c r="AC112" s="135">
        <f t="shared" si="46"/>
        <v>0</v>
      </c>
      <c r="AD112" s="135">
        <f t="shared" si="47"/>
        <v>1</v>
      </c>
      <c r="AE112" s="135">
        <f t="shared" si="47"/>
        <v>0</v>
      </c>
      <c r="AF112" s="135">
        <f t="shared" si="47"/>
        <v>0.25555555555555554</v>
      </c>
      <c r="AG112" s="135">
        <f t="shared" si="48"/>
        <v>0.26595744680851063</v>
      </c>
      <c r="AH112" s="135"/>
      <c r="AL112" s="60" t="s">
        <v>1979</v>
      </c>
      <c r="AM112" s="147">
        <f t="shared" si="42"/>
        <v>0</v>
      </c>
      <c r="AN112" s="147">
        <f t="shared" si="43"/>
        <v>0</v>
      </c>
      <c r="AO112" s="147">
        <f t="shared" si="44"/>
        <v>0</v>
      </c>
      <c r="AP112" s="147">
        <f t="shared" si="45"/>
        <v>0</v>
      </c>
      <c r="AQ112" s="147">
        <f t="shared" si="45"/>
        <v>0</v>
      </c>
      <c r="AR112" s="147">
        <f t="shared" si="45"/>
        <v>60</v>
      </c>
      <c r="AS112" s="245">
        <f t="shared" si="45"/>
        <v>0</v>
      </c>
      <c r="AT112" s="147">
        <f t="shared" si="45"/>
        <v>60</v>
      </c>
    </row>
    <row r="113" spans="2:48" ht="18" customHeight="1">
      <c r="AA113" s="60" t="s">
        <v>1979</v>
      </c>
      <c r="AB113" s="135">
        <f t="shared" si="46"/>
        <v>0</v>
      </c>
      <c r="AC113" s="135">
        <f t="shared" si="46"/>
        <v>0</v>
      </c>
      <c r="AD113" s="135">
        <f t="shared" si="47"/>
        <v>0</v>
      </c>
      <c r="AE113" s="135">
        <f t="shared" si="47"/>
        <v>0</v>
      </c>
      <c r="AF113" s="135">
        <f t="shared" si="47"/>
        <v>8.8888888888888892E-2</v>
      </c>
      <c r="AG113" s="135">
        <f t="shared" si="48"/>
        <v>8.5106382978723402E-2</v>
      </c>
      <c r="AH113" s="135"/>
      <c r="AL113" s="60" t="s">
        <v>1897</v>
      </c>
      <c r="AM113" s="147">
        <f t="shared" si="42"/>
        <v>0</v>
      </c>
      <c r="AN113" s="147">
        <f t="shared" si="43"/>
        <v>10</v>
      </c>
      <c r="AO113" s="147">
        <f t="shared" si="44"/>
        <v>0</v>
      </c>
      <c r="AP113" s="147">
        <f t="shared" si="45"/>
        <v>0</v>
      </c>
      <c r="AQ113" s="147">
        <f t="shared" si="45"/>
        <v>0</v>
      </c>
      <c r="AR113" s="147">
        <f t="shared" si="45"/>
        <v>174</v>
      </c>
      <c r="AS113" s="245">
        <f t="shared" si="45"/>
        <v>0</v>
      </c>
      <c r="AT113" s="147">
        <f t="shared" si="45"/>
        <v>184</v>
      </c>
    </row>
    <row r="114" spans="2:48" ht="18" customHeight="1">
      <c r="AA114" s="60" t="s">
        <v>1897</v>
      </c>
      <c r="AB114" s="135">
        <f t="shared" si="46"/>
        <v>1</v>
      </c>
      <c r="AC114" s="135">
        <f t="shared" si="46"/>
        <v>0</v>
      </c>
      <c r="AD114" s="135">
        <f t="shared" si="47"/>
        <v>0</v>
      </c>
      <c r="AE114" s="135">
        <f t="shared" si="47"/>
        <v>0</v>
      </c>
      <c r="AF114" s="135">
        <f t="shared" si="47"/>
        <v>0.4</v>
      </c>
      <c r="AG114" s="135">
        <f t="shared" si="48"/>
        <v>0.40425531914893614</v>
      </c>
      <c r="AH114" s="135"/>
      <c r="AL114" s="127" t="s">
        <v>3</v>
      </c>
      <c r="AM114" s="177">
        <f t="shared" si="42"/>
        <v>0</v>
      </c>
      <c r="AN114" s="177">
        <f t="shared" si="43"/>
        <v>10</v>
      </c>
      <c r="AO114" s="177">
        <f t="shared" si="44"/>
        <v>0</v>
      </c>
      <c r="AP114" s="177">
        <f t="shared" si="45"/>
        <v>0</v>
      </c>
      <c r="AQ114" s="177">
        <f t="shared" si="45"/>
        <v>0</v>
      </c>
      <c r="AR114" s="177">
        <f t="shared" si="45"/>
        <v>445</v>
      </c>
      <c r="AS114" s="245">
        <f t="shared" si="45"/>
        <v>10</v>
      </c>
      <c r="AT114" s="177">
        <f t="shared" si="45"/>
        <v>465</v>
      </c>
    </row>
    <row r="115" spans="2:48" ht="13.9" customHeight="1">
      <c r="B115" s="336" t="s">
        <v>2764</v>
      </c>
      <c r="C115" s="336"/>
      <c r="D115" s="336"/>
      <c r="E115" s="336"/>
      <c r="F115" s="336"/>
      <c r="G115" s="336"/>
      <c r="H115" s="336"/>
      <c r="I115" s="336"/>
      <c r="AI115" s="88"/>
      <c r="AL115" s="169" t="s">
        <v>2766</v>
      </c>
      <c r="AS115" s="7"/>
      <c r="AT115" s="1">
        <v>470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0</v>
      </c>
      <c r="AO118" s="135" t="e">
        <f t="shared" si="49"/>
        <v>#DIV/0!</v>
      </c>
      <c r="AP118" s="135">
        <f>SUM(AP109:AQ109:AS109)/SUM(AP$114:AQ$114:AS$114)</f>
        <v>0.2153846153846154</v>
      </c>
      <c r="AQ118" s="135">
        <f>AR109/AR$114</f>
        <v>0.19775280898876405</v>
      </c>
      <c r="AR118" s="135">
        <f>AT109/AT$114</f>
        <v>0.21075268817204301</v>
      </c>
    </row>
    <row r="119" spans="2:48" ht="21" customHeight="1">
      <c r="B119" s="359" t="str">
        <f>"Table 7. "&amp;City_label&amp;" five year change in households by income and race, 2014 - 2019"</f>
        <v>Table 7. North Bonneville five year change in households by income and race, 2014 - 2019</v>
      </c>
      <c r="C119" s="359"/>
      <c r="D119" s="359"/>
      <c r="E119" s="359"/>
      <c r="F119" s="359"/>
      <c r="G119" s="359"/>
      <c r="H119" s="359"/>
      <c r="AI119" s="88"/>
      <c r="AL119" s="60" t="s">
        <v>1977</v>
      </c>
      <c r="AM119" s="135" t="e">
        <f t="shared" si="49"/>
        <v>#DIV/0!</v>
      </c>
      <c r="AN119" s="135">
        <f t="shared" si="49"/>
        <v>0</v>
      </c>
      <c r="AO119" s="135" t="e">
        <f t="shared" si="49"/>
        <v>#DIV/0!</v>
      </c>
      <c r="AP119" s="135">
        <f>SUM(AP110:AQ110:AS110)/SUM(AP$114:AQ$114:AS$114)</f>
        <v>9.6703296703296707E-2</v>
      </c>
      <c r="AQ119" s="135">
        <f>AR110/AR$114</f>
        <v>9.8876404494382023E-2</v>
      </c>
      <c r="AR119" s="135">
        <f>AT110/AT$114</f>
        <v>9.4623655913978491E-2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t="e">
        <f t="shared" si="49"/>
        <v>#DIV/0!</v>
      </c>
      <c r="AP120" s="135">
        <f>SUM(AP111:AQ111:AS111)/SUM(AP$114:AQ$114:AS$114)</f>
        <v>0.17362637362637362</v>
      </c>
      <c r="AQ120" s="135">
        <f>AR111/AR$114</f>
        <v>0.17752808988764046</v>
      </c>
      <c r="AR120" s="135">
        <f>AT111/AT$114</f>
        <v>0.16989247311827957</v>
      </c>
    </row>
    <row r="121" spans="2:48" ht="13.9" customHeight="1" thickBot="1">
      <c r="AA121" s="60" t="s">
        <v>1983</v>
      </c>
      <c r="AB121" s="86">
        <f>AE101</f>
        <v>0</v>
      </c>
      <c r="AC121" s="86">
        <f>SUM(AB101:AD101,AF101,AH101)</f>
        <v>0</v>
      </c>
      <c r="AD121" s="86">
        <f>AG101</f>
        <v>60</v>
      </c>
      <c r="AF121" s="135">
        <f>AB121/$AB$126</f>
        <v>0</v>
      </c>
      <c r="AG121" s="135">
        <f>AC121/$AC$126</f>
        <v>0</v>
      </c>
      <c r="AH121" s="135">
        <f>AD121/$AD$126</f>
        <v>0.13333333333333333</v>
      </c>
      <c r="AL121" s="60" t="s">
        <v>1979</v>
      </c>
      <c r="AM121" s="135" t="e">
        <f t="shared" si="49"/>
        <v>#DIV/0!</v>
      </c>
      <c r="AN121" s="135">
        <f t="shared" si="49"/>
        <v>0</v>
      </c>
      <c r="AO121" s="135" t="e">
        <f t="shared" si="49"/>
        <v>#DIV/0!</v>
      </c>
      <c r="AP121" s="135">
        <f>SUM(AP112:AQ112:AS112)/SUM(AP$114:AQ$114:AS$114)</f>
        <v>0.13186813186813187</v>
      </c>
      <c r="AQ121" s="135">
        <f>AR112/AR$114</f>
        <v>0.1348314606741573</v>
      </c>
      <c r="AR121" s="135">
        <f>AT112/AT$114</f>
        <v>0.12903225806451613</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55</v>
      </c>
      <c r="AF122" s="135">
        <f>AB122/$AB$126</f>
        <v>0</v>
      </c>
      <c r="AG122" s="135">
        <f>AC122/$AC$126</f>
        <v>0</v>
      </c>
      <c r="AH122" s="135">
        <f>AD122/$AD$126</f>
        <v>0.12222222222222222</v>
      </c>
      <c r="AL122" s="60" t="s">
        <v>1897</v>
      </c>
      <c r="AM122" s="284" t="e">
        <f t="shared" si="49"/>
        <v>#DIV/0!</v>
      </c>
      <c r="AN122" s="284">
        <f t="shared" si="49"/>
        <v>1</v>
      </c>
      <c r="AO122" s="284" t="e">
        <f t="shared" si="49"/>
        <v>#DIV/0!</v>
      </c>
      <c r="AP122" s="284">
        <f>SUM(AP113:AQ113:AS113)/SUM(AP$114:AQ$114:AS$114)</f>
        <v>0.38241758241758239</v>
      </c>
      <c r="AQ122" s="284">
        <f>AR113/AR$114</f>
        <v>0.39101123595505616</v>
      </c>
      <c r="AR122" s="284">
        <f>AT113/AT$114</f>
        <v>0.39569892473118279</v>
      </c>
      <c r="AV122" s="7"/>
    </row>
    <row r="123" spans="2:48" ht="19.5" customHeight="1">
      <c r="B123" s="357"/>
      <c r="C123" s="350"/>
      <c r="D123" s="350"/>
      <c r="E123" s="350"/>
      <c r="F123" s="350"/>
      <c r="G123" s="350"/>
      <c r="H123" s="350"/>
      <c r="AA123" s="60" t="s">
        <v>1978</v>
      </c>
      <c r="AB123" s="86">
        <f>AE103</f>
        <v>4</v>
      </c>
      <c r="AC123" s="86">
        <f t="shared" si="50"/>
        <v>6</v>
      </c>
      <c r="AD123" s="86">
        <f>AG103</f>
        <v>115</v>
      </c>
      <c r="AF123" s="135">
        <f>AB123/$AB$126</f>
        <v>1</v>
      </c>
      <c r="AG123" s="135">
        <f>AC123/$AC$126</f>
        <v>0.375</v>
      </c>
      <c r="AH123" s="135">
        <f>AD123/$AD$126</f>
        <v>0.25555555555555554</v>
      </c>
      <c r="AL123" s="127" t="s">
        <v>1</v>
      </c>
      <c r="AM123" s="283" t="e">
        <f>SUM(AM118:AM122)</f>
        <v>#DIV/0!</v>
      </c>
      <c r="AN123" s="283">
        <f t="shared" ref="AN123:AR123" si="51">SUM(AN118:AN122)</f>
        <v>1</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40</v>
      </c>
      <c r="AF124" s="135">
        <f>AB124/$AB$126</f>
        <v>0</v>
      </c>
      <c r="AG124" s="135">
        <f>AC124/$AC$126</f>
        <v>0</v>
      </c>
      <c r="AH124" s="135">
        <f>AD124/$AD$126</f>
        <v>8.8888888888888892E-2</v>
      </c>
      <c r="AS124" s="88"/>
      <c r="AV124" s="7"/>
    </row>
    <row r="125" spans="2:48" ht="21" customHeight="1">
      <c r="B125" s="233" t="s">
        <v>3</v>
      </c>
      <c r="C125" s="234"/>
      <c r="D125" s="235"/>
      <c r="E125" s="235"/>
      <c r="F125" s="235"/>
      <c r="G125" s="235"/>
      <c r="H125" s="235"/>
      <c r="AA125" s="60" t="s">
        <v>1897</v>
      </c>
      <c r="AB125" s="287">
        <f>AE105</f>
        <v>0</v>
      </c>
      <c r="AC125" s="287">
        <f t="shared" si="50"/>
        <v>10</v>
      </c>
      <c r="AD125" s="287">
        <f>AG105</f>
        <v>180</v>
      </c>
      <c r="AE125" s="288"/>
      <c r="AF125" s="284">
        <f>AB125/$AB$126</f>
        <v>0</v>
      </c>
      <c r="AG125" s="284">
        <f>AC125/$AC$126</f>
        <v>0.625</v>
      </c>
      <c r="AH125" s="284">
        <f>AD125/$AD$126</f>
        <v>0.4</v>
      </c>
      <c r="AS125" s="88"/>
      <c r="AV125" s="7"/>
    </row>
    <row r="126" spans="2:48" ht="21" customHeight="1">
      <c r="B126" s="43">
        <v>2015</v>
      </c>
      <c r="C126" s="236">
        <f>AT109</f>
        <v>98</v>
      </c>
      <c r="D126" s="237">
        <f>AT110</f>
        <v>44</v>
      </c>
      <c r="E126" s="237">
        <f>AT111</f>
        <v>79</v>
      </c>
      <c r="F126" s="237">
        <f>AT112</f>
        <v>60</v>
      </c>
      <c r="G126" s="237">
        <f>AT113</f>
        <v>184</v>
      </c>
      <c r="H126" s="237">
        <f>AT114</f>
        <v>465</v>
      </c>
      <c r="AA126" s="85" t="s">
        <v>1</v>
      </c>
      <c r="AB126" s="128">
        <f>SUM(AB121:AB125)</f>
        <v>4</v>
      </c>
      <c r="AC126" s="128">
        <f>SUM(AC121:AC125)</f>
        <v>16</v>
      </c>
      <c r="AD126" s="128">
        <f>SUM(AD121:AD125)</f>
        <v>450</v>
      </c>
      <c r="AF126" s="283">
        <f>SUM(AF121:AF125)</f>
        <v>1</v>
      </c>
      <c r="AG126" s="283">
        <f t="shared" ref="AG126:AH126" si="52">SUM(AG121:AG125)</f>
        <v>1</v>
      </c>
      <c r="AH126" s="283">
        <f t="shared" si="52"/>
        <v>1</v>
      </c>
      <c r="AI126" s="88"/>
      <c r="AL126" s="171"/>
      <c r="AS126" s="88"/>
      <c r="AV126" s="7"/>
    </row>
    <row r="127" spans="2:48" ht="21" customHeight="1">
      <c r="B127" s="43">
        <v>2020</v>
      </c>
      <c r="C127" s="236">
        <f>AI101</f>
        <v>60</v>
      </c>
      <c r="D127" s="237">
        <f>AI102</f>
        <v>55</v>
      </c>
      <c r="E127" s="237">
        <f>AI103</f>
        <v>125</v>
      </c>
      <c r="F127" s="237">
        <f>AI104</f>
        <v>40</v>
      </c>
      <c r="G127" s="237">
        <f>AI105</f>
        <v>190</v>
      </c>
      <c r="H127" s="237">
        <f>AI106</f>
        <v>470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10</v>
      </c>
      <c r="H130" s="237">
        <f>AC106</f>
        <v>10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10</v>
      </c>
      <c r="H132" s="237">
        <f>AN114</f>
        <v>10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4</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0</v>
      </c>
      <c r="E138" s="237">
        <f>AP111+AQ111+AS111</f>
        <v>0</v>
      </c>
      <c r="F138" s="237">
        <f>AP112+AQ112+AS112</f>
        <v>0</v>
      </c>
      <c r="G138" s="237">
        <f>AP113+AQ113+AS113</f>
        <v>0</v>
      </c>
      <c r="H138" s="237">
        <f>AP114+AQ114+AS114</f>
        <v>10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6</v>
      </c>
      <c r="F139" s="237">
        <f>SUM(AB104,AF104,AH104)</f>
        <v>0</v>
      </c>
      <c r="G139" s="237">
        <f>SUM(AB105,AF105,AH105)</f>
        <v>0</v>
      </c>
      <c r="H139" s="237">
        <f>SUM(AB106,AF106,AH106)</f>
        <v>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88</v>
      </c>
      <c r="D141" s="237">
        <f>AR110</f>
        <v>44</v>
      </c>
      <c r="E141" s="237">
        <f>AR111</f>
        <v>79</v>
      </c>
      <c r="F141" s="237">
        <f>AR112</f>
        <v>60</v>
      </c>
      <c r="G141" s="237">
        <f>AR113</f>
        <v>174</v>
      </c>
      <c r="H141" s="237">
        <f>AR114</f>
        <v>445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60</v>
      </c>
      <c r="D142" s="241">
        <f>AG102</f>
        <v>55</v>
      </c>
      <c r="E142" s="241">
        <f>AG103</f>
        <v>115</v>
      </c>
      <c r="F142" s="241">
        <f>AG104</f>
        <v>40</v>
      </c>
      <c r="G142" s="241">
        <f>AG105</f>
        <v>180</v>
      </c>
      <c r="H142" s="241">
        <f>AG106</f>
        <v>450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North Bonneville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0.21075268817204301</v>
      </c>
      <c r="D152" s="267">
        <f t="shared" ref="D152:F153" si="53">IFERROR(D126/$H126,"0"%)</f>
        <v>9.4623655913978491E-2</v>
      </c>
      <c r="E152" s="267">
        <f t="shared" si="53"/>
        <v>0.16989247311827957</v>
      </c>
      <c r="F152" s="267">
        <f t="shared" si="53"/>
        <v>0.12903225806451613</v>
      </c>
      <c r="G152" s="267">
        <f>G126/$H126</f>
        <v>0.39569892473118279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0.1276595744680851</v>
      </c>
      <c r="D153" s="267">
        <f t="shared" si="53"/>
        <v>0.11702127659574468</v>
      </c>
      <c r="E153" s="267">
        <f t="shared" si="53"/>
        <v>0.26595744680851063</v>
      </c>
      <c r="F153" s="267">
        <f t="shared" si="53"/>
        <v>8.5106382978723402E-2</v>
      </c>
      <c r="G153" s="267">
        <f>G127/$H127</f>
        <v>0.40425531914893614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1</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1</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0.19775280898876405</v>
      </c>
      <c r="D167" s="267">
        <f t="shared" si="58"/>
        <v>9.8876404494382023E-2</v>
      </c>
      <c r="E167" s="267">
        <f t="shared" si="58"/>
        <v>0.17752808988764046</v>
      </c>
      <c r="F167" s="267">
        <f t="shared" si="58"/>
        <v>0.1348314606741573</v>
      </c>
      <c r="G167" s="267">
        <f t="shared" si="58"/>
        <v>0.39101123595505616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0.13333333333333333</v>
      </c>
      <c r="D168" s="267">
        <f t="shared" si="58"/>
        <v>0.12222222222222222</v>
      </c>
      <c r="E168" s="267">
        <f t="shared" si="58"/>
        <v>0.25555555555555554</v>
      </c>
      <c r="F168" s="267">
        <f t="shared" si="58"/>
        <v>8.8888888888888892E-2</v>
      </c>
      <c r="G168" s="267">
        <f t="shared" si="58"/>
        <v>0.4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North Bonneville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North Bonneville count of owner and renter households by racial group, 2019</v>
      </c>
      <c r="C5" s="301"/>
      <c r="D5" s="301"/>
      <c r="E5" s="301"/>
      <c r="F5" s="301"/>
      <c r="G5" s="301"/>
      <c r="H5" s="301"/>
      <c r="I5" s="301"/>
      <c r="J5" s="301"/>
      <c r="K5" s="301"/>
      <c r="X5" s="16" t="s">
        <v>2702</v>
      </c>
      <c r="Y5" s="304" t="str">
        <f>City</f>
        <v>North Bonneville city, Washington</v>
      </c>
      <c r="Z5" s="304"/>
    </row>
    <row r="6" spans="2:57" ht="18" customHeight="1">
      <c r="B6" s="301"/>
      <c r="C6" s="301"/>
      <c r="D6" s="301"/>
      <c r="E6" s="301"/>
      <c r="F6" s="301"/>
      <c r="G6" s="301"/>
      <c r="H6" s="301"/>
      <c r="I6" s="301"/>
      <c r="J6" s="301"/>
      <c r="K6" s="301"/>
      <c r="X6" s="16" t="s">
        <v>2703</v>
      </c>
      <c r="Y6" s="304" t="str">
        <f>County</f>
        <v>Skamania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North Bonneville</v>
      </c>
      <c r="F8" s="257"/>
      <c r="G8" s="256"/>
      <c r="H8" s="65" t="str">
        <f>City_label</f>
        <v>North Bonneville</v>
      </c>
      <c r="I8" s="257"/>
      <c r="J8" s="65" t="str">
        <f>County_label</f>
        <v>Skamania County</v>
      </c>
      <c r="K8" s="257"/>
      <c r="X8" s="62" t="str">
        <f>City</f>
        <v>North Bonneville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0.91666666666666663</v>
      </c>
      <c r="K11" s="254">
        <f>Y77/Y51</f>
        <v>8.3333333333333329E-2</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0</v>
      </c>
      <c r="G12" s="29"/>
      <c r="H12" s="254">
        <f t="shared" ref="H12:H18" si="1">IFERROR(E12/SUM(E12:F12), "0%")</f>
        <v>1</v>
      </c>
      <c r="I12" s="254" t="str">
        <f t="shared" si="0"/>
        <v>0%</v>
      </c>
      <c r="J12" s="254">
        <f>Z66/Z51</f>
        <v>1</v>
      </c>
      <c r="K12" s="254">
        <f>Z77/Z51</f>
        <v>0</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v>
      </c>
      <c r="F14" s="253">
        <f>AB40</f>
        <v>0</v>
      </c>
      <c r="G14" s="29"/>
      <c r="H14" s="254">
        <f t="shared" si="1"/>
        <v>1</v>
      </c>
      <c r="I14" s="254" t="str">
        <f t="shared" si="0"/>
        <v>0%</v>
      </c>
      <c r="J14" s="254">
        <f>AB66/AB51</f>
        <v>0.59375</v>
      </c>
      <c r="K14" s="254">
        <f>AB77/AB51</f>
        <v>0.40625</v>
      </c>
      <c r="X14" s="33" t="s">
        <v>2852</v>
      </c>
      <c r="Y14" s="37">
        <f t="shared" ref="Y14:AE14" si="2">SUM(Y29,Y40)</f>
        <v>0</v>
      </c>
      <c r="Z14" s="37">
        <f t="shared" si="2"/>
        <v>10</v>
      </c>
      <c r="AA14" s="37">
        <f t="shared" si="2"/>
        <v>0</v>
      </c>
      <c r="AB14" s="37">
        <f t="shared" si="2"/>
        <v>4</v>
      </c>
      <c r="AC14" s="37">
        <f t="shared" si="2"/>
        <v>4</v>
      </c>
      <c r="AD14" s="37">
        <f t="shared" si="2"/>
        <v>0</v>
      </c>
      <c r="AE14" s="37">
        <f t="shared" si="2"/>
        <v>450</v>
      </c>
      <c r="AF14" s="2">
        <v>475</v>
      </c>
      <c r="AG14" s="5"/>
      <c r="AH14" t="s">
        <v>5</v>
      </c>
      <c r="AI14" s="5">
        <f>AI25</f>
        <v>10</v>
      </c>
      <c r="AJ14" s="5">
        <f t="shared" ref="AJ14:AO14" si="3">AJ25</f>
        <v>0</v>
      </c>
      <c r="AK14" s="5">
        <f t="shared" si="3"/>
        <v>4</v>
      </c>
      <c r="AL14" s="5">
        <f t="shared" si="3"/>
        <v>4</v>
      </c>
      <c r="AM14" s="5">
        <f t="shared" si="3"/>
        <v>14</v>
      </c>
      <c r="AN14" s="5">
        <f t="shared" si="3"/>
        <v>280</v>
      </c>
      <c r="AO14" s="5">
        <f t="shared" si="3"/>
        <v>305</v>
      </c>
      <c r="AP14" s="37"/>
      <c r="AQ14" s="37"/>
      <c r="AR14" s="5"/>
    </row>
    <row r="15" spans="2:57">
      <c r="B15" s="29" t="s">
        <v>2706</v>
      </c>
      <c r="C15" s="29"/>
      <c r="E15" s="253">
        <f>AC29</f>
        <v>4</v>
      </c>
      <c r="F15" s="253">
        <f>AC40</f>
        <v>0</v>
      </c>
      <c r="G15" s="29"/>
      <c r="H15" s="254">
        <f t="shared" si="1"/>
        <v>1</v>
      </c>
      <c r="I15" s="254" t="str">
        <f t="shared" si="0"/>
        <v>0%</v>
      </c>
      <c r="J15" s="254">
        <f>AC66/AC51</f>
        <v>0.84615384615384615</v>
      </c>
      <c r="K15" s="254">
        <f>AC77/AC51</f>
        <v>0.15384615384615385</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170</v>
      </c>
      <c r="AO15" s="5">
        <f t="shared" si="4"/>
        <v>170</v>
      </c>
      <c r="AP15" s="5"/>
    </row>
    <row r="16" spans="2:57" ht="15">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468</v>
      </c>
      <c r="AG16" s="5"/>
      <c r="AH16" s="34" t="s">
        <v>1</v>
      </c>
      <c r="AI16" s="34">
        <f>Z14</f>
        <v>10</v>
      </c>
      <c r="AJ16" s="34">
        <f>AA14</f>
        <v>0</v>
      </c>
      <c r="AK16" s="37">
        <f>AB14</f>
        <v>4</v>
      </c>
      <c r="AL16" s="37">
        <f>SUM(Y14, AC14:AD14)</f>
        <v>4</v>
      </c>
      <c r="AM16" s="37">
        <f>SUM(Y14:AA14,AC14:AD14)</f>
        <v>14</v>
      </c>
      <c r="AN16" s="37">
        <f>AE14</f>
        <v>450</v>
      </c>
      <c r="AO16" s="37">
        <f>AF14</f>
        <v>475</v>
      </c>
      <c r="AP16" s="5"/>
    </row>
    <row r="17" spans="2:42">
      <c r="B17" s="29" t="s">
        <v>2672</v>
      </c>
      <c r="C17" s="29"/>
      <c r="E17" s="281">
        <f>AE29</f>
        <v>280</v>
      </c>
      <c r="F17" s="281">
        <f>AE40</f>
        <v>170</v>
      </c>
      <c r="G17" s="70"/>
      <c r="H17" s="282">
        <f t="shared" si="1"/>
        <v>0.62222222222222223</v>
      </c>
      <c r="I17" s="282">
        <f t="shared" si="0"/>
        <v>1</v>
      </c>
      <c r="J17" s="282">
        <f>AE66/AE51</f>
        <v>0.73798627002288331</v>
      </c>
      <c r="K17" s="282">
        <f>AE77/AE51</f>
        <v>0.26201372997711669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305</v>
      </c>
      <c r="F18" s="258">
        <f>AF40</f>
        <v>170</v>
      </c>
      <c r="G18" s="247"/>
      <c r="H18" s="259">
        <f t="shared" si="1"/>
        <v>0.64210526315789473</v>
      </c>
      <c r="I18" s="259">
        <f t="shared" si="0"/>
        <v>1</v>
      </c>
      <c r="J18" s="259">
        <f>AF66/AF51</f>
        <v>0.74481327800829877</v>
      </c>
      <c r="K18" s="259">
        <f>AF77/AF51</f>
        <v>0.25518672199170123</v>
      </c>
      <c r="AE18" s="59" t="s">
        <v>2852</v>
      </c>
      <c r="AF18" s="112" t="s">
        <v>2235</v>
      </c>
      <c r="AG18" s="5"/>
      <c r="AH18" t="s">
        <v>5</v>
      </c>
      <c r="AI18" s="6">
        <f>AI14/AI$16</f>
        <v>1</v>
      </c>
      <c r="AJ18" s="6" t="e">
        <f t="shared" ref="AJ18:AO18" si="5">AJ14/AJ$16</f>
        <v>#DIV/0!</v>
      </c>
      <c r="AK18" s="6">
        <f t="shared" si="5"/>
        <v>1</v>
      </c>
      <c r="AL18" s="6">
        <f t="shared" si="5"/>
        <v>1</v>
      </c>
      <c r="AM18" s="6">
        <f t="shared" si="5"/>
        <v>1</v>
      </c>
      <c r="AN18" s="6">
        <f t="shared" si="5"/>
        <v>0.62222222222222223</v>
      </c>
      <c r="AO18" s="6">
        <f t="shared" si="5"/>
        <v>0.64210526315789473</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f t="shared" si="6"/>
        <v>0</v>
      </c>
      <c r="AL19" s="6">
        <f t="shared" si="6"/>
        <v>0</v>
      </c>
      <c r="AM19" s="6">
        <f t="shared" si="6"/>
        <v>0</v>
      </c>
      <c r="AN19" s="6">
        <f t="shared" si="6"/>
        <v>0.37777777777777777</v>
      </c>
      <c r="AO19" s="6">
        <f t="shared" si="6"/>
        <v>0.35789473684210527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North Bonneville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0</v>
      </c>
      <c r="AK25" s="37">
        <f>AB29</f>
        <v>4</v>
      </c>
      <c r="AL25" s="37">
        <f>SUM(Y29,AC29:AD29)</f>
        <v>4</v>
      </c>
      <c r="AM25" s="37">
        <f>SUM(Y29:AA29,AC29:AD29)</f>
        <v>14</v>
      </c>
      <c r="AN25" s="37">
        <f>AE29</f>
        <v>280</v>
      </c>
      <c r="AO25" s="37">
        <f>AF29</f>
        <v>305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10</v>
      </c>
      <c r="AA29" s="2">
        <v>0</v>
      </c>
      <c r="AB29" s="2">
        <v>4</v>
      </c>
      <c r="AC29" s="2">
        <v>4</v>
      </c>
      <c r="AD29" s="2">
        <v>0</v>
      </c>
      <c r="AE29" s="2">
        <v>280</v>
      </c>
      <c r="AF29" s="2">
        <v>305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170</v>
      </c>
      <c r="AO36" s="37">
        <f>AF40</f>
        <v>170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0</v>
      </c>
      <c r="AD40" s="2">
        <v>0</v>
      </c>
      <c r="AE40" s="2">
        <v>170</v>
      </c>
      <c r="AF40" s="2">
        <v>170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Skamania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North Bonneville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120</v>
      </c>
      <c r="Z51" s="37">
        <f t="shared" si="8"/>
        <v>100</v>
      </c>
      <c r="AA51" s="37">
        <f t="shared" si="8"/>
        <v>4</v>
      </c>
      <c r="AB51" s="37">
        <f t="shared" si="8"/>
        <v>160</v>
      </c>
      <c r="AC51" s="37">
        <f t="shared" si="8"/>
        <v>65</v>
      </c>
      <c r="AD51" s="37">
        <f t="shared" si="8"/>
        <v>0</v>
      </c>
      <c r="AE51" s="37">
        <f t="shared" si="8"/>
        <v>4370</v>
      </c>
      <c r="AF51" s="37">
        <f t="shared" si="8"/>
        <v>4820</v>
      </c>
      <c r="AG51" s="5"/>
      <c r="AH51" t="s">
        <v>5</v>
      </c>
      <c r="AI51" s="5">
        <f>AI62</f>
        <v>100</v>
      </c>
      <c r="AJ51" s="5">
        <f t="shared" ref="AJ51:AO51" si="9">AJ62</f>
        <v>4</v>
      </c>
      <c r="AK51" s="5">
        <f t="shared" si="9"/>
        <v>95</v>
      </c>
      <c r="AL51" s="5">
        <f t="shared" si="9"/>
        <v>165</v>
      </c>
      <c r="AM51" s="5">
        <f t="shared" si="9"/>
        <v>364</v>
      </c>
      <c r="AN51" s="5">
        <f t="shared" si="9"/>
        <v>3225</v>
      </c>
      <c r="AO51" s="5">
        <f t="shared" si="9"/>
        <v>3590</v>
      </c>
      <c r="AP51" s="37"/>
    </row>
    <row r="52" spans="24:44">
      <c r="X52" s="33"/>
      <c r="Y52" s="5"/>
      <c r="Z52" s="5"/>
      <c r="AA52" s="5"/>
      <c r="AB52" s="5"/>
      <c r="AC52" s="5"/>
      <c r="AD52" s="5"/>
      <c r="AE52" s="5"/>
      <c r="AF52" s="5"/>
      <c r="AG52" s="5"/>
      <c r="AH52" s="33" t="s">
        <v>4</v>
      </c>
      <c r="AI52" s="5">
        <f>AI73</f>
        <v>0</v>
      </c>
      <c r="AJ52" s="5">
        <f t="shared" ref="AJ52:AO52" si="10">AJ73</f>
        <v>0</v>
      </c>
      <c r="AK52" s="5">
        <f t="shared" si="10"/>
        <v>65</v>
      </c>
      <c r="AL52" s="5">
        <f t="shared" si="10"/>
        <v>20</v>
      </c>
      <c r="AM52" s="5">
        <f t="shared" si="10"/>
        <v>85</v>
      </c>
      <c r="AN52" s="5">
        <f t="shared" si="10"/>
        <v>1145</v>
      </c>
      <c r="AO52" s="5">
        <f t="shared" si="10"/>
        <v>1230</v>
      </c>
      <c r="AP52" s="5"/>
      <c r="AR52" s="31"/>
    </row>
    <row r="53" spans="24:44" ht="15">
      <c r="X53" s="33"/>
      <c r="Y53" s="5"/>
      <c r="Z53" s="5"/>
      <c r="AA53" s="5"/>
      <c r="AB53" s="5"/>
      <c r="AC53" s="5"/>
      <c r="AD53" s="5"/>
      <c r="AE53" s="251" t="s">
        <v>2854</v>
      </c>
      <c r="AF53" s="5">
        <f>SUM(Y51:AE51)</f>
        <v>4819</v>
      </c>
      <c r="AG53" s="5"/>
      <c r="AH53" s="34" t="s">
        <v>1</v>
      </c>
      <c r="AI53" s="34">
        <f>Z51</f>
        <v>100</v>
      </c>
      <c r="AJ53" s="34">
        <f>AA51</f>
        <v>4</v>
      </c>
      <c r="AK53" s="37">
        <f>AB51</f>
        <v>160</v>
      </c>
      <c r="AL53" s="37">
        <f>SUM(Y51, AC51:AD51)</f>
        <v>185</v>
      </c>
      <c r="AM53" s="37">
        <f>SUM(Y51:AD51)</f>
        <v>449</v>
      </c>
      <c r="AN53" s="37">
        <f>AE51</f>
        <v>4370</v>
      </c>
      <c r="AO53" s="37">
        <f>AF51</f>
        <v>4820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1</v>
      </c>
      <c r="AJ55" s="6">
        <f t="shared" ref="AJ55:AO55" si="11">AJ51/AJ$53</f>
        <v>1</v>
      </c>
      <c r="AK55" s="6">
        <f t="shared" si="11"/>
        <v>0.59375</v>
      </c>
      <c r="AL55" s="6">
        <f t="shared" si="11"/>
        <v>0.89189189189189189</v>
      </c>
      <c r="AM55" s="6">
        <f t="shared" si="11"/>
        <v>0.81069042316258355</v>
      </c>
      <c r="AN55" s="6">
        <f t="shared" si="11"/>
        <v>0.73798627002288331</v>
      </c>
      <c r="AO55" s="6">
        <f t="shared" si="11"/>
        <v>0.74481327800829877</v>
      </c>
      <c r="AP55" s="5"/>
    </row>
    <row r="56" spans="24:44" ht="15">
      <c r="AG56" s="5"/>
      <c r="AH56" s="33" t="s">
        <v>4</v>
      </c>
      <c r="AI56" s="6">
        <f>AI52/AI$53</f>
        <v>0</v>
      </c>
      <c r="AJ56" s="6">
        <f t="shared" ref="AJ56:AO56" si="12">AJ52/AJ$53</f>
        <v>0</v>
      </c>
      <c r="AK56" s="6">
        <f t="shared" si="12"/>
        <v>0.40625</v>
      </c>
      <c r="AL56" s="6">
        <f t="shared" si="12"/>
        <v>0.10810810810810811</v>
      </c>
      <c r="AM56" s="6">
        <f t="shared" si="12"/>
        <v>0.18930957683741648</v>
      </c>
      <c r="AN56" s="6">
        <f t="shared" si="12"/>
        <v>0.26201372997711669</v>
      </c>
      <c r="AO56" s="6">
        <f t="shared" si="12"/>
        <v>0.25518672199170123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100</v>
      </c>
      <c r="AJ62" s="37">
        <f>AA66</f>
        <v>4</v>
      </c>
      <c r="AK62" s="37">
        <f>AB66</f>
        <v>95</v>
      </c>
      <c r="AL62" s="37">
        <f>SUM(Y66,AC66:AD66)</f>
        <v>165</v>
      </c>
      <c r="AM62" s="37">
        <f>SUM(Y66:AD66)</f>
        <v>364</v>
      </c>
      <c r="AN62" s="37">
        <f>AE66</f>
        <v>3225</v>
      </c>
      <c r="AO62" s="37">
        <f>AF66</f>
        <v>3590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110</v>
      </c>
      <c r="Z66" s="2">
        <v>100</v>
      </c>
      <c r="AA66" s="2">
        <v>4</v>
      </c>
      <c r="AB66" s="2">
        <v>95</v>
      </c>
      <c r="AC66" s="2">
        <v>55</v>
      </c>
      <c r="AD66" s="2">
        <v>0</v>
      </c>
      <c r="AE66" s="2">
        <v>3225</v>
      </c>
      <c r="AF66" s="2">
        <v>3590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North Bonneville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0</v>
      </c>
      <c r="AJ73" s="37">
        <f>AA77</f>
        <v>0</v>
      </c>
      <c r="AK73" s="37">
        <f>AB77</f>
        <v>65</v>
      </c>
      <c r="AL73" s="37">
        <f>SUM(Y77, AC77:AD77)</f>
        <v>20</v>
      </c>
      <c r="AM73" s="37">
        <f>SUM(Y77:AD77)</f>
        <v>85</v>
      </c>
      <c r="AN73" s="37">
        <f>AE77</f>
        <v>1145</v>
      </c>
      <c r="AO73" s="37">
        <f>AF77</f>
        <v>1230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10</v>
      </c>
      <c r="Z77" s="2">
        <v>0</v>
      </c>
      <c r="AA77" s="2">
        <v>0</v>
      </c>
      <c r="AB77" s="2">
        <v>65</v>
      </c>
      <c r="AC77" s="2">
        <v>10</v>
      </c>
      <c r="AD77" s="2">
        <v>0</v>
      </c>
      <c r="AE77" s="2">
        <v>1145</v>
      </c>
      <c r="AF77" s="2">
        <v>1230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North Bonneville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F5DFF9AF-E1C3-4F9D-AD4C-450ADE3A0547}">
  <ds:schemaRefs>
    <ds:schemaRef ds:uri="8556b74b-f608-4f00-b474-15eeb07aa725"/>
    <ds:schemaRef ds:uri="http://purl.org/dc/dcmitype/"/>
    <ds:schemaRef ds:uri="http://purl.org/dc/elements/1.1/"/>
    <ds:schemaRef ds:uri="http://purl.org/dc/terms/"/>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8070d79-41db-40ac-93d9-3fd8f1a76dba"/>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2024-06-03T20:05:27Z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