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35" i="283"/>
  <c r="AG25" i="283"/>
  <c r="AH25" i="283"/>
  <c r="AJ35" i="283"/>
  <c r="AG24" i="283"/>
  <c r="AS54" i="297"/>
  <c r="AJ34" i="283"/>
  <c r="AG35" i="283"/>
  <c r="AC36" i="284"/>
  <c r="AH24" i="283"/>
  <c r="AE23" i="283"/>
  <c r="X36" i="283"/>
  <c r="J11" i="283" s="1"/>
  <c r="AC37" i="284"/>
  <c r="AE25" i="283"/>
  <c r="AG36" i="283"/>
  <c r="AE24" i="283"/>
  <c r="AG23" i="283"/>
  <c r="AJ23" i="283"/>
  <c r="AS53" i="297"/>
  <c r="AE34" i="283"/>
  <c r="AS51" i="297"/>
  <c r="AJ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I23" i="283" l="1"/>
  <c r="K13" i="286"/>
  <c r="AE65" i="284"/>
  <c r="AI65" i="284" s="1"/>
  <c r="AE38" i="284"/>
  <c r="AI38" i="284" s="1"/>
  <c r="K11" i="286"/>
  <c r="AO18" i="286"/>
  <c r="K15" i="286"/>
  <c r="K14" i="286"/>
  <c r="K23" i="283"/>
  <c r="AD78" i="284"/>
  <c r="AG78" i="284" s="1"/>
  <c r="AK26" i="283"/>
  <c r="J17" i="286"/>
  <c r="AG65" i="284"/>
  <c r="AH65" i="284" s="1"/>
  <c r="AG66" i="284"/>
  <c r="AH66" i="284" s="1"/>
  <c r="AN56" i="286"/>
  <c r="AE36" i="284"/>
  <c r="AI36" i="284" s="1"/>
  <c r="AI56" i="286"/>
  <c r="AE35" i="284"/>
  <c r="AI35" i="284" s="1"/>
  <c r="AO19" i="286"/>
  <c r="K17" i="286"/>
  <c r="H23" i="283"/>
  <c r="J14" i="286"/>
  <c r="J23" i="283"/>
  <c r="AK16" i="284"/>
  <c r="J12" i="284"/>
  <c r="AG37" i="284"/>
  <c r="AH37" i="284" s="1"/>
  <c r="AG35" i="284"/>
  <c r="AH35" i="284" s="1"/>
  <c r="AE67" i="284"/>
  <c r="AI67" i="284" s="1"/>
  <c r="AE66" i="284"/>
  <c r="AI66" i="284" s="1"/>
  <c r="AD80" i="284"/>
  <c r="AG80" i="284" s="1"/>
  <c r="AD81" i="284"/>
  <c r="L23" i="283"/>
  <c r="M15" i="283"/>
  <c r="AK56" i="286"/>
  <c r="AJ49" i="297"/>
  <c r="H16" i="286"/>
  <c r="AC81" i="284"/>
  <c r="AL13" i="284"/>
  <c r="AI19" i="286"/>
  <c r="AJ56" i="286"/>
  <c r="AG68" i="284"/>
  <c r="AG67" i="284"/>
  <c r="AH67" i="284" s="1"/>
  <c r="AK19" i="286"/>
  <c r="AD79" i="284"/>
  <c r="AG79" i="284" s="1"/>
  <c r="H15" i="286"/>
  <c r="J13" i="284"/>
  <c r="AH69" i="284"/>
  <c r="AL14" i="284"/>
  <c r="AL15" i="284"/>
  <c r="J14" i="284"/>
  <c r="AB56" i="297"/>
  <c r="AE106" i="297" s="1"/>
  <c r="AE68" i="284"/>
  <c r="AI68" i="284" s="1"/>
  <c r="AL12" i="284"/>
  <c r="J11" i="284"/>
  <c r="K18" i="286"/>
  <c r="AJ19" i="286"/>
  <c r="AI56" i="297"/>
  <c r="AI106" i="297" s="1"/>
  <c r="AO56" i="286"/>
  <c r="K12" i="286"/>
  <c r="AG50" i="283"/>
  <c r="J181" i="283" s="1"/>
  <c r="E142" i="297"/>
  <c r="AM16" i="286"/>
  <c r="AM19" i="286" s="1"/>
  <c r="AK50" i="283"/>
  <c r="G181" i="283" s="1"/>
  <c r="AS103" i="297"/>
  <c r="AU103" i="297" s="1"/>
  <c r="K16" i="286"/>
  <c r="J13" i="286"/>
  <c r="AN16" i="284"/>
  <c r="AN19" i="286"/>
  <c r="G16"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O20" i="286"/>
  <c r="M23" i="283"/>
  <c r="AJ57" i="286"/>
  <c r="AE78" i="284"/>
  <c r="AI78" i="284" s="1"/>
  <c r="AI57" i="286"/>
  <c r="I17" i="297"/>
  <c r="I25" i="297" s="1"/>
  <c r="AK47" i="283"/>
  <c r="AK48" i="283" s="1"/>
  <c r="AI20" i="286"/>
  <c r="AH101" i="297"/>
  <c r="AH106" i="297" s="1"/>
  <c r="H139" i="297" s="1"/>
  <c r="AE80" i="284"/>
  <c r="AI80" i="284" s="1"/>
  <c r="AL55" i="286"/>
  <c r="AL57" i="286" s="1"/>
  <c r="AO57" i="286"/>
  <c r="AN57" i="286"/>
  <c r="D14" i="297"/>
  <c r="D22" i="297" s="1"/>
  <c r="E14" i="297"/>
  <c r="E19" i="297" s="1"/>
  <c r="AL16" i="284"/>
  <c r="I18" i="297"/>
  <c r="I26" i="297" s="1"/>
  <c r="AE47" i="283"/>
  <c r="AE79" i="284"/>
  <c r="AI79" i="284" s="1"/>
  <c r="AM18" i="286"/>
  <c r="AM20" i="286" s="1"/>
  <c r="C22" i="297"/>
  <c r="AJ65" i="283"/>
  <c r="AJ66" i="283" s="1"/>
  <c r="AM55" i="286"/>
  <c r="AM57" i="286" s="1"/>
  <c r="AE56" i="283"/>
  <c r="AE57" i="283" s="1"/>
  <c r="AL18" i="286"/>
  <c r="AL20" i="286" s="1"/>
  <c r="H19" i="297"/>
  <c r="AH56" i="283"/>
  <c r="AH63" i="283" s="1"/>
  <c r="AN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I72" i="283"/>
  <c r="K194" i="283"/>
  <c r="AG57" i="283"/>
  <c r="G183" i="283"/>
  <c r="AF66" i="283"/>
  <c r="AH72" i="283"/>
  <c r="AK40" i="283"/>
  <c r="AK16" i="283"/>
  <c r="G80" i="282"/>
  <c r="AI27" i="282"/>
  <c r="G82" i="282"/>
  <c r="AI29" i="282"/>
  <c r="AI26" i="282"/>
  <c r="G81" i="282"/>
  <c r="AI28" i="282"/>
  <c r="AH81" i="284" l="1"/>
  <c r="H188" i="283"/>
  <c r="D19" i="297"/>
  <c r="AK54" i="283"/>
  <c r="AF63" i="283"/>
  <c r="G182" i="283"/>
  <c r="AK63" i="283"/>
  <c r="G159" i="297"/>
  <c r="AK66" i="283"/>
  <c r="AK57" i="283"/>
  <c r="G22" i="297"/>
  <c r="AE63" i="283"/>
  <c r="AJ63" i="283"/>
  <c r="I183" i="283"/>
  <c r="F194" i="283"/>
  <c r="AJ72" i="283"/>
  <c r="AF57" i="283"/>
  <c r="H194" i="283"/>
  <c r="AG72" i="283"/>
  <c r="AJ57" i="283"/>
  <c r="C139" i="297"/>
  <c r="C165" i="297" s="1"/>
  <c r="AC121" i="297"/>
  <c r="AE72" i="283"/>
  <c r="AJ47" i="283"/>
  <c r="AJ48" i="283" s="1"/>
  <c r="E22" i="297"/>
  <c r="AF72" i="283"/>
  <c r="I14" i="297"/>
  <c r="I19" i="297" s="1"/>
  <c r="AG66" i="283"/>
  <c r="AH57" i="283"/>
  <c r="K188"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H54" i="283" l="1"/>
  <c r="K182" i="283"/>
  <c r="I22"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<sst xmlns="http://schemas.openxmlformats.org/spreadsheetml/2006/main" count="5379" uniqueCount="2858">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</sst>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C1361D7-20D0-4003-8CFC-0695F24BAE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409551F-0569-48EA-A8B8-0B7E634F97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BA7759F-91E9-4F55-8313-DE15BB2DF3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CFC0F71-5CDA-485F-870D-B7A9B03D13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091511A-44B8-4E3F-86DB-0D3C72C18A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c:v>
                </c:pt>
                <c:pt idx="1">
                  <c:v>0</c:v>
                </c:pt>
                <c:pt idx="2">
                  <c:v>20</c:v>
                </c:pt>
                <c:pt idx="3">
                  <c:v>0</c:v>
                </c:pt>
                <c:pt idx="4">
                  <c:v>246</c:v>
                </c:pt>
              </c:numCache>
            </c:numRef>
          </c:val>
          <c:extLst>
            <c:ext xmlns:c15="http://schemas.microsoft.com/office/drawing/2012/chart" uri="{02D57815-91ED-43cb-92C2-25804820EDAC}">
              <c15:datalabelsRange>
                <c15:f>'Racial Composition'!$AI$26:$AI$30</c15:f>
                <c15:dlblRangeCache>
                  <c:ptCount val="5"/>
                  <c:pt idx="0">
                    <c:v>1
(0%)</c:v>
                  </c:pt>
                  <c:pt idx="1">
                    <c:v>0
(0%)</c:v>
                  </c:pt>
                  <c:pt idx="2">
                    <c:v>20
(7%)</c:v>
                  </c:pt>
                  <c:pt idx="3">
                    <c:v>0
(0%)</c:v>
                  </c:pt>
                  <c:pt idx="4">
                    <c:v>246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7.7669902912621352E-2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1</c:v>
                </c:pt>
                <c:pt idx="2">
                  <c:v>9.7087378640776698E-2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0.82524271844660191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7.7669902912621352E-2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1</c:v>
                </c:pt>
                <c:pt idx="5">
                  <c:v>9.7087378640776698E-2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0.82524271844660191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7.7669902912621352E-2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1</c:v>
                </c:pt>
                <c:pt idx="2">
                  <c:v>9.7087378640776698E-2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0.82524271844660191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c:v>
                </c:pt>
                <c:pt idx="1">
                  <c:v>0.41666666666666669</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c:v>
                </c:pt>
                <c:pt idx="1">
                  <c:v>0.16666666666666666</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c:v>
                </c:pt>
                <c:pt idx="1">
                  <c:v>0.41666666666666669</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0.56000000000000005</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-6</c:v>
                </c:pt>
                <c:pt idx="2">
                  <c:v>0</c:v>
                </c:pt>
                <c:pt idx="3">
                  <c:v>21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-11</c:v>
                </c:pt>
                <c:pt idx="2">
                  <c:v>6</c:v>
                </c:pt>
                <c:pt idx="3">
                  <c:v>24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B3AE759-17A3-4BD6-BEF7-242FDE172E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7EEA7FC-2A45-40F9-A5B3-5F7A678C47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2013DD2-9DAB-4AE1-BE16-AE833F3F57D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16D816F-F315-4FB3-91FA-8DDCB0D9B7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10.199999999999999</c:v>
                </c:pt>
                <c:pt idx="1">
                  <c:v>4.2</c:v>
                </c:pt>
                <c:pt idx="2">
                  <c:v>10.199999999999999</c:v>
                </c:pt>
                <c:pt idx="3">
                  <c:v>28.2</c:v>
                </c:pt>
              </c:numCache>
            </c:numRef>
          </c:val>
          <c:smooth val="0"/>
          <c:extLst>
            <c:ext xmlns:c15="http://schemas.microsoft.com/office/drawing/2012/chart" uri="{02D57815-91ED-43cb-92C2-25804820EDAC}">
              <c15:datalabelsRange>
                <c15:f>'Rental Affordability'!$AI$78:$AI$81</c15:f>
                <c15:dlblRangeCache>
                  <c:ptCount val="4"/>
                  <c:pt idx="0">
                    <c:v>Difference:
+12 units</c:v>
                  </c:pt>
                  <c:pt idx="1">
                    <c:v>Difference:
-5 units</c:v>
                  </c:pt>
                  <c:pt idx="2">
                    <c:v>Difference:
+6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Almira</c:v>
                </c:pt>
                <c:pt idx="1">
                  <c:v>Lincoln County</c:v>
                </c:pt>
              </c:strCache>
            </c:strRef>
          </c:cat>
          <c:val>
            <c:numRef>
              <c:f>('Racial Composition'!$AH$30,'Racial Composition'!$AN$30)</c:f>
              <c:numCache>
                <c:formatCode>0%</c:formatCode>
                <c:ptCount val="2"/>
                <c:pt idx="0">
                  <c:v>0.9213483146067416</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Almira</c:v>
                </c:pt>
                <c:pt idx="1">
                  <c:v>Lincoln County</c:v>
                </c:pt>
              </c:strCache>
            </c:strRef>
          </c:cat>
          <c:val>
            <c:numRef>
              <c:f>('Racial Composition'!$AH$29,'Racial Composition'!$AN$29)</c:f>
              <c:numCache>
                <c:formatCode>0%</c:formatCode>
                <c:ptCount val="2"/>
                <c:pt idx="0">
                  <c:v>0</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Almira</c:v>
                </c:pt>
                <c:pt idx="1">
                  <c:v>Lincoln County</c:v>
                </c:pt>
              </c:strCache>
            </c:strRef>
          </c:cat>
          <c:val>
            <c:numRef>
              <c:f>('Racial Composition'!$AH$28,'Racial Composition'!$AN$28)</c:f>
              <c:numCache>
                <c:formatCode>0%</c:formatCode>
                <c:ptCount val="2"/>
                <c:pt idx="0">
                  <c:v>7.4906367041198504E-2</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Almira</c:v>
                </c:pt>
                <c:pt idx="1">
                  <c:v>Lincoln County</c:v>
                </c:pt>
              </c:strCache>
            </c:strRef>
          </c:cat>
          <c:val>
            <c:numRef>
              <c:f>('Racial Composition'!$AH$27,'Racial Composition'!$AN$27)</c:f>
              <c:numCache>
                <c:formatCode>0%</c:formatCode>
                <c:ptCount val="2"/>
                <c:pt idx="0">
                  <c:v>0</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Almira</c:v>
                </c:pt>
                <c:pt idx="1">
                  <c:v>Lincoln County</c:v>
                </c:pt>
              </c:strCache>
            </c:strRef>
          </c:cat>
          <c:val>
            <c:numRef>
              <c:f>('Racial Composition'!$AH$26,'Racial Composition'!$AN$26)</c:f>
              <c:numCache>
                <c:formatCode>0%</c:formatCode>
                <c:ptCount val="2"/>
                <c:pt idx="0">
                  <c:v>3.7453183520599251E-3</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7CAE7CA-8059-49BE-8F41-4350710C0DE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50E25CD-09FC-42C8-A881-15F5DDF1B4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C4AF2DA-FFEB-4DB9-B1DF-910A3378AF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CBDD7AE-2833-41F0-ABE3-394339C4B1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10.4</c:v>
                </c:pt>
                <c:pt idx="1">
                  <c:v>4.4000000000000004</c:v>
                </c:pt>
                <c:pt idx="2">
                  <c:v>10.4</c:v>
                </c:pt>
                <c:pt idx="3">
                  <c:v>14.4</c:v>
                </c:pt>
              </c:numCache>
            </c:numRef>
          </c:val>
          <c:smooth val="0"/>
          <c:extLst>
            <c:ext xmlns:c15="http://schemas.microsoft.com/office/drawing/2012/chart" uri="{02D57815-91ED-43cb-92C2-25804820EDAC}">
              <c15:datalabelsRange>
                <c15:f>'Rental Affordability'!$AI$35:$AI$38</c15:f>
                <c15:dlblRangeCache>
                  <c:ptCount val="4"/>
                  <c:pt idx="0">
                    <c:v>Surplus: 
+6 units</c:v>
                  </c:pt>
                  <c:pt idx="1">
                    <c:v>
0 units</c:v>
                  </c:pt>
                  <c:pt idx="2">
                    <c:v>Surplus: 
+6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0.11538461538461539</c:v>
                </c:pt>
                <c:pt idx="5">
                  <c:v>0.11538461538461539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7.6923076923076927E-2</c:v>
                </c:pt>
                <c:pt idx="5">
                  <c:v>7.6923076923076927E-2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0.11538461538461539</c:v>
                </c:pt>
                <c:pt idx="5">
                  <c:v>0.11538461538461539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0.17307692307692307</c:v>
                </c:pt>
                <c:pt idx="5">
                  <c:v>0.17307692307692307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0.51923076923076927</c:v>
                </c:pt>
                <c:pt idx="5">
                  <c:v>0.51923076923076927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54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0.11538461538461539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7.6923076923076927E-2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0.11538461538461539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0.17307692307692307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0.51923076923076927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54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0.15517241379310345</c:v>
                </c:pt>
                <c:pt idx="2">
                  <c:v>0.11538461538461539</c:v>
                </c:pt>
                <c:pt idx="4">
                  <c:v>0</c:v>
                </c:pt>
                <c:pt idx="5">
                  <c:v>0</c:v>
                </c:pt>
                <c:pt idx="7">
                  <c:v>0</c:v>
                </c:pt>
                <c:pt idx="8">
                  <c:v>0</c:v>
                </c:pt>
                <c:pt idx="10">
                  <c:v>0</c:v>
                </c:pt>
                <c:pt idx="11">
                  <c:v>0</c:v>
                </c:pt>
                <c:pt idx="13">
                  <c:v>0</c:v>
                </c:pt>
                <c:pt idx="14">
                  <c:v>0</c:v>
                </c:pt>
                <c:pt idx="16">
                  <c:v>0.15517241379310345</c:v>
                </c:pt>
                <c:pt idx="17">
                  <c:v>0.11538461538461539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0.13793103448275862</c:v>
                </c:pt>
                <c:pt idx="2">
                  <c:v>7.6923076923076927E-2</c:v>
                </c:pt>
                <c:pt idx="4">
                  <c:v>0</c:v>
                </c:pt>
                <c:pt idx="5">
                  <c:v>0</c:v>
                </c:pt>
                <c:pt idx="7">
                  <c:v>0</c:v>
                </c:pt>
                <c:pt idx="8">
                  <c:v>0</c:v>
                </c:pt>
                <c:pt idx="10">
                  <c:v>0</c:v>
                </c:pt>
                <c:pt idx="11">
                  <c:v>0</c:v>
                </c:pt>
                <c:pt idx="13">
                  <c:v>0</c:v>
                </c:pt>
                <c:pt idx="14">
                  <c:v>0</c:v>
                </c:pt>
                <c:pt idx="16">
                  <c:v>0.13793103448275862</c:v>
                </c:pt>
                <c:pt idx="17">
                  <c:v>7.6923076923076927E-2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0.19827586206896552</c:v>
                </c:pt>
                <c:pt idx="2">
                  <c:v>0.11538461538461539</c:v>
                </c:pt>
                <c:pt idx="4">
                  <c:v>0</c:v>
                </c:pt>
                <c:pt idx="5">
                  <c:v>0</c:v>
                </c:pt>
                <c:pt idx="7">
                  <c:v>0</c:v>
                </c:pt>
                <c:pt idx="8">
                  <c:v>0</c:v>
                </c:pt>
                <c:pt idx="10">
                  <c:v>0</c:v>
                </c:pt>
                <c:pt idx="11">
                  <c:v>0</c:v>
                </c:pt>
                <c:pt idx="13">
                  <c:v>0</c:v>
                </c:pt>
                <c:pt idx="14">
                  <c:v>0</c:v>
                </c:pt>
                <c:pt idx="16">
                  <c:v>0.19827586206896552</c:v>
                </c:pt>
                <c:pt idx="17">
                  <c:v>0.11538461538461539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0.17241379310344829</c:v>
                </c:pt>
                <c:pt idx="2">
                  <c:v>0.17307692307692307</c:v>
                </c:pt>
                <c:pt idx="4">
                  <c:v>0</c:v>
                </c:pt>
                <c:pt idx="5">
                  <c:v>0</c:v>
                </c:pt>
                <c:pt idx="7">
                  <c:v>0</c:v>
                </c:pt>
                <c:pt idx="8">
                  <c:v>0</c:v>
                </c:pt>
                <c:pt idx="10">
                  <c:v>0</c:v>
                </c:pt>
                <c:pt idx="11">
                  <c:v>0</c:v>
                </c:pt>
                <c:pt idx="13">
                  <c:v>0</c:v>
                </c:pt>
                <c:pt idx="14">
                  <c:v>0</c:v>
                </c:pt>
                <c:pt idx="16">
                  <c:v>0.17241379310344829</c:v>
                </c:pt>
                <c:pt idx="17">
                  <c:v>0.17307692307692307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0.33620689655172414</c:v>
                </c:pt>
                <c:pt idx="2">
                  <c:v>0.51923076923076927</c:v>
                </c:pt>
                <c:pt idx="4">
                  <c:v>0</c:v>
                </c:pt>
                <c:pt idx="5">
                  <c:v>1</c:v>
                </c:pt>
                <c:pt idx="7">
                  <c:v>0</c:v>
                </c:pt>
                <c:pt idx="8">
                  <c:v>0</c:v>
                </c:pt>
                <c:pt idx="10">
                  <c:v>0</c:v>
                </c:pt>
                <c:pt idx="11">
                  <c:v>0</c:v>
                </c:pt>
                <c:pt idx="13">
                  <c:v>0</c:v>
                </c:pt>
                <c:pt idx="14">
                  <c:v>1</c:v>
                </c:pt>
                <c:pt idx="16">
                  <c:v>0.33620689655172414</c:v>
                </c:pt>
                <c:pt idx="17">
                  <c:v>0.51923076923076927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0</c:v>
                </c:pt>
                <c:pt idx="4">
                  <c:v>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c:v>
                </c:pt>
                <c:pt idx="4">
                  <c:v>0.75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Almira</c:v>
                  </c:pt>
                  <c:pt idx="2">
                    <c:v>Lincoln County</c:v>
                  </c:pt>
                </c:lvl>
              </c:multiLvlStrCache>
            </c:multiLvlStrRef>
          </c:cat>
          <c:val>
            <c:numRef>
              <c:f>('Racial Composition'!$AG$39:$AH$39,'Racial Composition'!$AM$39:$AN$39)</c:f>
              <c:numCache>
                <c:formatCode>0%</c:formatCode>
                <c:ptCount val="4"/>
                <c:pt idx="0">
                  <c:v>0.88212927756653992</c:v>
                </c:pt>
                <c:pt idx="1">
                  <c:v>0.9213483146067416</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Almira</c:v>
                  </c:pt>
                  <c:pt idx="2">
                    <c:v>Lincoln County</c:v>
                  </c:pt>
                </c:lvl>
              </c:multiLvlStrCache>
            </c:multiLvlStrRef>
          </c:cat>
          <c:val>
            <c:numRef>
              <c:f>('Racial Composition'!$AG$38:$AH$38,'Racial Composition'!$AM$38:$AN$38)</c:f>
              <c:numCache>
                <c:formatCode>0%</c:formatCode>
                <c:ptCount val="4"/>
                <c:pt idx="0">
                  <c:v>0.11787072243346007</c:v>
                </c:pt>
                <c:pt idx="1">
                  <c:v>3.7453183520599251E-3</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Almira</c:v>
                  </c:pt>
                  <c:pt idx="2">
                    <c:v>Lincoln County</c:v>
                  </c:pt>
                </c:lvl>
              </c:multiLvlStrCache>
            </c:multiLvlStrRef>
          </c:cat>
          <c:val>
            <c:numRef>
              <c:f>('Racial Composition'!$AG$37:$AH$37,'Racial Composition'!$AM$37:$AN$37)</c:f>
              <c:numCache>
                <c:formatCode>0%</c:formatCode>
                <c:ptCount val="4"/>
                <c:pt idx="0">
                  <c:v>0</c:v>
                </c:pt>
                <c:pt idx="1">
                  <c:v>7.4906367041198504E-2</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1451091-C207-4BE1-B562-DEC97104BE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90A5F0E-031A-4883-B9AD-D9ACE185B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6F0D18C-2343-4F4E-A57C-3C8AF1F989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c:v>
                </c:pt>
                <c:pt idx="1">
                  <c:v>1</c:v>
                </c:pt>
                <c:pt idx="2">
                  <c:v>246</c:v>
                </c:pt>
              </c:numCache>
            </c:numRef>
          </c:val>
          <c:extLst>
            <c:ext xmlns:c15="http://schemas.microsoft.com/office/drawing/2012/chart" uri="{02D57815-91ED-43cb-92C2-25804820EDAC}">
              <c15:datalabelsRange>
                <c15:f>'Racial Composition'!$AI$37:$AI$39</c15:f>
                <c15:dlblRangeCache>
                  <c:ptCount val="3"/>
                  <c:pt idx="0">
                    <c:v>20
(7%)</c:v>
                  </c:pt>
                  <c:pt idx="1">
                    <c:v>1
(0%)</c:v>
                  </c:pt>
                  <c:pt idx="2">
                    <c:v>246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Almira</c:v>
                </c:pt>
                <c:pt idx="1">
                  <c:v>Lincoln County</c:v>
                </c:pt>
              </c:strCache>
            </c:strRef>
          </c:cat>
          <c:val>
            <c:numRef>
              <c:f>('Racial Composition'!$AH$39,'Racial Composition'!$AN$39)</c:f>
              <c:numCache>
                <c:formatCode>0%</c:formatCode>
                <c:ptCount val="2"/>
                <c:pt idx="0">
                  <c:v>0.9213483146067416</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Almira</c:v>
                </c:pt>
                <c:pt idx="1">
                  <c:v>Lincoln County</c:v>
                </c:pt>
              </c:strCache>
            </c:strRef>
          </c:cat>
          <c:val>
            <c:numRef>
              <c:f>('Racial Composition'!$AH$38,'Racial Composition'!$AN$38)</c:f>
              <c:numCache>
                <c:formatCode>0%</c:formatCode>
                <c:ptCount val="2"/>
                <c:pt idx="0">
                  <c:v>3.7453183520599251E-3</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Almira</c:v>
                </c:pt>
                <c:pt idx="1">
                  <c:v>Lincoln County</c:v>
                </c:pt>
              </c:strCache>
            </c:strRef>
          </c:cat>
          <c:val>
            <c:numRef>
              <c:f>('Racial Composition'!$AH$37,'Racial Composition'!$AN$37)</c:f>
              <c:numCache>
                <c:formatCode>0%</c:formatCode>
                <c:ptCount val="2"/>
                <c:pt idx="0">
                  <c:v>7.4906367041198504E-2</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0</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7.7669902912621352E-2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1</c:v>
                </c:pt>
                <c:pt idx="5">
                  <c:v>9.7087378640776698E-2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0.82524271844660191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Almira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41</v>
      </c>
    </row>
    <row r="7" spans="2:10" ht="20">
      <c r="B7" s="9"/>
      <c r="C7" s="48" t="s">
        <v>1941</v>
      </c>
    </row>
    <row r="8" spans="2:10" ht="20">
      <c r="B8" s="8" t="s">
        <v>2678</v>
      </c>
      <c r="C8" s="45" t="str">
        <f>IFERROR(INDEX(GEOID[GEO_ID],MATCH(City,GEOID[NAME],0)),"(not found)")</f>
        <v>1600000US5301500</v>
      </c>
    </row>
    <row r="9" spans="2:10" ht="20">
      <c r="B9" s="8"/>
      <c r="C9" s="45" t="str">
        <f>IFERROR(INDEX(GEOID[GEO_ID],MATCH(County,GEOID[NAME],0)),"(not found)")</f>
        <v>0500000US53043</v>
      </c>
    </row>
    <row r="11" spans="2:10" ht="20">
      <c r="B11" s="8" t="s">
        <v>2677</v>
      </c>
      <c r="C11" s="49" t="str">
        <f>IFERROR(INDEX(WA_CDPs[GEO_ID_CHAS],MATCH(City,WA_CDPs[NAME],0)),"(not found)")</f>
        <v>16000US5301500</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Almira</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Almira and Lincoln County, 2015 and 2020</v>
      </c>
      <c r="E76" s="7" t="s">
        <v>2697</v>
      </c>
      <c r="H76" s="42" t="s">
        <v>2407</v>
      </c>
    </row>
    <row r="77" spans="2:10">
      <c r="B77" s="7" t="str">
        <f>'Racial Composition'!C74</f>
        <v>Table 2. Racial composition percentage of Almira and Lincoln County 2015 and 2020</v>
      </c>
      <c r="E77" s="7" t="s">
        <v>2697</v>
      </c>
    </row>
    <row r="78" spans="2:10">
      <c r="B78" s="7" t="str">
        <f>'Cost Burden'!C4</f>
        <v>Table 3. Almira number of households by housing cost burden, 2019</v>
      </c>
      <c r="E78" s="7" t="s">
        <v>2804</v>
      </c>
    </row>
    <row r="79" spans="2:10">
      <c r="B79" s="7" t="str">
        <f>'Cost Burden'!C173</f>
        <v>Table 4. Almira percentage of households by housing cost burden, 2019</v>
      </c>
      <c r="E79" s="7" t="s">
        <v>2804</v>
      </c>
    </row>
    <row r="80" spans="2:10">
      <c r="B80" s="7" t="str">
        <f>'Rental Affordability'!C5</f>
        <v>Table 5. Almira and Lincoln County rental units by affordability and households by income, 2019</v>
      </c>
      <c r="E80" s="7" t="s">
        <v>1266</v>
      </c>
    </row>
    <row r="81" spans="2:5">
      <c r="B81" s="7" t="str">
        <f>Income!B6</f>
        <v>Table 6. Almira count of households by income and race, 2019</v>
      </c>
      <c r="E81" s="7" t="s">
        <v>2662</v>
      </c>
    </row>
    <row r="82" spans="2:5">
      <c r="B82" s="7" t="str">
        <f>Income!B119</f>
        <v>Table 7. Almira five year change in households by income and race, 2014 - 2019</v>
      </c>
      <c r="E82" s="7" t="s">
        <v>2662</v>
      </c>
    </row>
    <row r="83" spans="2:5">
      <c r="B83" s="7" t="str">
        <f>Income!B146</f>
        <v>Table 8. Almira five year change in distribution of households by income and race, 2014 - 2019</v>
      </c>
      <c r="E83" s="7" t="s">
        <v>2662</v>
      </c>
    </row>
    <row r="84" spans="2:5">
      <c r="B84" s="7" t="str">
        <f>Tenure!B5</f>
        <v>Table 9. Almira count of owner and renter households by racial group, 2019</v>
      </c>
      <c r="E84" s="7" t="s">
        <v>0</v>
      </c>
    </row>
    <row r="86" spans="2:5">
      <c r="B86" s="290" t="s">
        <v>2805</v>
      </c>
      <c r="C86" s="290"/>
      <c r="D86" s="290"/>
      <c r="E86" s="290"/>
    </row>
    <row r="87" spans="2:5" ht="14.5">
      <c r="B87" s="10" t="s">
        <v>2806</v>
      </c>
    </row>
    <row r="88" spans="2:5">
      <c r="B88" s="7" t="str">
        <f>'Racial Composition'!C29</f>
        <v>Chart 1. Almira population by race and Hispanic or Latino ethnicity, 2020</v>
      </c>
      <c r="E88" s="7" t="s">
        <v>2697</v>
      </c>
    </row>
    <row r="89" spans="2:5">
      <c r="B89" s="7" t="str">
        <f>'Racial Composition'!C56</f>
        <v>Chart 1a. Almira population by race and Hispanic ethnicity, 2020</v>
      </c>
      <c r="E89" s="7" t="s">
        <v>2697</v>
      </c>
    </row>
    <row r="90" spans="2:5">
      <c r="B90" s="7" t="str">
        <f>'Racial Composition'!C87</f>
        <v>Chart 2. Racial composition of Almira and Lincoln County, 2020</v>
      </c>
      <c r="E90" s="7" t="s">
        <v>2697</v>
      </c>
    </row>
    <row r="91" spans="2:5">
      <c r="B91" s="7" t="str">
        <f>'Racial Composition'!C113</f>
        <v>Chart 2a. Racial composition of Almira and Lincoln County, 2020</v>
      </c>
      <c r="E91" s="7" t="s">
        <v>2697</v>
      </c>
    </row>
    <row r="92" spans="2:5">
      <c r="B92" s="7" t="str">
        <f>'Racial Composition'!C138</f>
        <v>Chart 3. Racial composition of Almira and Lincoln County, 2015 and 2020</v>
      </c>
      <c r="E92" s="7" t="s">
        <v>2697</v>
      </c>
    </row>
    <row r="93" spans="2:5">
      <c r="B93" s="7" t="str">
        <f>'Cost Burden'!C29</f>
        <v>Chart 4. Almira total housing cost burden by racial and ethnic group, 2019</v>
      </c>
      <c r="E93" s="7" t="s">
        <v>2804</v>
      </c>
    </row>
    <row r="94" spans="2:5">
      <c r="B94" s="7" t="str">
        <f>'Cost Burden'!C53</f>
        <v>Chart 4a. Almira total housing cost burden by racial and ethnic group, 2019</v>
      </c>
      <c r="E94" s="7" t="s">
        <v>2804</v>
      </c>
    </row>
    <row r="95" spans="2:5">
      <c r="B95" s="7" t="str">
        <f>'Cost Burden'!C76</f>
        <v>Chart 5. Almira number of owner households by race and cost burden, 2019</v>
      </c>
      <c r="E95" s="7" t="s">
        <v>2804</v>
      </c>
    </row>
    <row r="96" spans="2:5">
      <c r="B96" s="7" t="str">
        <f>'Cost Burden'!C100</f>
        <v>Chart 5a. Almira number of owner households by race and cost burden, 2019</v>
      </c>
      <c r="E96" s="7" t="s">
        <v>2804</v>
      </c>
    </row>
    <row r="97" spans="2:5">
      <c r="B97" s="7" t="str">
        <f>'Cost Burden'!C124</f>
        <v>Chart 6. Almira renter households by race and cost burden, 2019</v>
      </c>
      <c r="E97" s="7" t="s">
        <v>2804</v>
      </c>
    </row>
    <row r="98" spans="2:5">
      <c r="B98" s="7" t="str">
        <f>'Cost Burden'!C148</f>
        <v>Chart 6a. Almira renter households by race and cost burden, 2019</v>
      </c>
      <c r="E98" s="7" t="s">
        <v>2804</v>
      </c>
    </row>
    <row r="99" spans="2:5">
      <c r="B99" s="7" t="str">
        <f>'Cost Burden'!C202</f>
        <v>Chart 7. Almira percent of all households experiencing housing cost burden, 2019</v>
      </c>
      <c r="E99" s="7" t="s">
        <v>2804</v>
      </c>
    </row>
    <row r="100" spans="2:5">
      <c r="B100" s="7" t="str">
        <f>'Cost Burden'!C228</f>
        <v>Chart 7a. Almira percent of all households experiencing housing cost burden, 2019</v>
      </c>
      <c r="E100" s="7" t="s">
        <v>2804</v>
      </c>
    </row>
    <row r="101" spans="2:5">
      <c r="B101" s="7" t="str">
        <f>'Cost Burden'!C246</f>
        <v>Chart 8. Almira percent owner households experiencing housing cost burden, 2019</v>
      </c>
      <c r="E101" s="7" t="s">
        <v>2804</v>
      </c>
    </row>
    <row r="102" spans="2:5">
      <c r="B102" s="7" t="str">
        <f>'Cost Burden'!C272</f>
        <v>Chart 8a. Almira percent owner households experiencing housing cost burden, 2019</v>
      </c>
      <c r="E102" s="7" t="s">
        <v>2804</v>
      </c>
    </row>
    <row r="103" spans="2:5">
      <c r="B103" s="7" t="str">
        <f>'Cost Burden'!C291</f>
        <v>Chart 9. Almira percent renter households experiencing housing cost burden, 2019</v>
      </c>
      <c r="E103" s="7" t="s">
        <v>2804</v>
      </c>
    </row>
    <row r="104" spans="2:5">
      <c r="B104" s="7" t="str">
        <f>'Cost Burden'!C317</f>
        <v>Chart 9a. Almira percent renter households experiencing housing cost burden, 2019</v>
      </c>
      <c r="E104" s="7" t="s">
        <v>2804</v>
      </c>
    </row>
    <row r="105" spans="2:5">
      <c r="B105" s="7" t="str">
        <f>'Rental Affordability'!C20</f>
        <v>Chart 10. Almira and Lincoln County renter household income compared to rental unit affordability, 2019</v>
      </c>
      <c r="E105" s="7" t="s">
        <v>1266</v>
      </c>
    </row>
    <row r="106" spans="2:5">
      <c r="B106" s="7" t="str">
        <f>'Rental Affordability'!C45</f>
        <v>Chart 11. Almira renter households by income compared to rental units by affordability, 2019</v>
      </c>
      <c r="E106" s="7" t="s">
        <v>1266</v>
      </c>
    </row>
    <row r="107" spans="2:5">
      <c r="B107" s="7" t="str">
        <f>'Rental Affordability'!C78</f>
        <v>Chart 12. Almira five year change in renter households by income and rental units by affordability, 2014 - 2019</v>
      </c>
      <c r="E107" s="7" t="s">
        <v>1266</v>
      </c>
    </row>
    <row r="108" spans="2:5">
      <c r="B108" s="7" t="str">
        <f>Income!B31</f>
        <v>Chart 13. Almira number of households by income category and race, 2019</v>
      </c>
      <c r="E108" s="7" t="s">
        <v>2662</v>
      </c>
    </row>
    <row r="109" spans="2:5">
      <c r="B109" s="7" t="str">
        <f>Income!B55</f>
        <v>Chart 13a. Almira number of households by income category and race, 2019</v>
      </c>
      <c r="E109" s="7" t="s">
        <v>2662</v>
      </c>
    </row>
    <row r="110" spans="2:5">
      <c r="B110" s="7" t="str">
        <f>Income!B78</f>
        <v>Chart 14. Almira distribution of households by income and race or ethnicity, 2019</v>
      </c>
      <c r="E110" s="7" t="s">
        <v>2662</v>
      </c>
    </row>
    <row r="111" spans="2:5">
      <c r="B111" s="7" t="str">
        <f>Income!B100</f>
        <v>Chart 14a. Almira distribution of households by income and race or ethnicity, 2019</v>
      </c>
      <c r="E111" s="7" t="s">
        <v>2662</v>
      </c>
    </row>
    <row r="112" spans="2:5">
      <c r="B112" s="7" t="str">
        <f>Income!B172</f>
        <v>Chart 15. Almira percentage of all households by income category and race, (2010 - 2014 vs 2015 - 2019)</v>
      </c>
      <c r="E112" s="7" t="s">
        <v>2662</v>
      </c>
    </row>
    <row r="113" spans="2:5">
      <c r="B113" s="7" t="str">
        <f>Tenure!B22</f>
        <v>Chart 16. Almira total number of owner and renter households by race and ethnicity, 2019</v>
      </c>
      <c r="E113" s="7" t="s">
        <v>0</v>
      </c>
    </row>
    <row r="114" spans="2:5">
      <c r="B114" s="7" t="str">
        <f>Tenure!B47</f>
        <v>Chart 16a. Almira total number of owner and renter households by race and ethnicity, 2019</v>
      </c>
      <c r="E114" s="7" t="s">
        <v>0</v>
      </c>
    </row>
    <row r="115" spans="2:5">
      <c r="B115" s="7" t="str">
        <f>Tenure!B69</f>
        <v xml:space="preserve">Chart 17. Almira percent owner and renter households by race and ethnicity, 2019 </v>
      </c>
      <c r="E115" s="7" t="s">
        <v>0</v>
      </c>
    </row>
    <row r="116" spans="2:5">
      <c r="B116" s="7" t="str">
        <f>Tenure!B95</f>
        <v xml:space="preserve">Chart 17a. Almira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Almira and Lincoln County, 2015 and 2020</v>
      </c>
      <c r="D5" s="301"/>
      <c r="E5" s="301"/>
      <c r="F5" s="301"/>
      <c r="G5" s="301"/>
      <c r="H5" s="301"/>
      <c r="I5" s="301"/>
      <c r="J5" s="301"/>
      <c r="K5" s="301"/>
      <c r="L5" s="301"/>
      <c r="M5" s="301"/>
      <c r="AA5" s="16" t="s">
        <v>2702</v>
      </c>
      <c r="AB5" s="304" t="str">
        <f>City</f>
        <v>Almira town,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Almira</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91</v>
      </c>
      <c r="L10" s="69">
        <f>AL15</f>
        <v>169</v>
      </c>
      <c r="M10" s="69">
        <f t="shared" ref="M10:M17" si="1">L10-K10</f>
        <v>78</v>
      </c>
      <c r="AE10" s="36" t="str">
        <f>City_label</f>
        <v>Almira</v>
      </c>
      <c r="AF10" s="36" t="str">
        <f>City_label</f>
        <v>Almira</v>
      </c>
      <c r="AG10" s="36" t="str">
        <f>City_label</f>
        <v>Almira</v>
      </c>
      <c r="AH10" s="36" t="str">
        <f>City_label</f>
        <v>Almira</v>
      </c>
      <c r="AI10" s="36" t="str">
        <f>City_label</f>
        <v>Almira</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10</v>
      </c>
      <c r="H11" s="69">
        <f>AF16</f>
        <v>1</v>
      </c>
      <c r="I11" s="69">
        <f t="shared" si="0"/>
        <v>-9</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0</v>
      </c>
      <c r="I12" s="69">
        <f t="shared" si="0"/>
        <v>-1</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20</v>
      </c>
      <c r="I13" s="69">
        <f t="shared" si="0"/>
        <v>20</v>
      </c>
      <c r="J13" s="29"/>
      <c r="K13" s="69">
        <f>AK20</f>
        <v>297</v>
      </c>
      <c r="L13" s="69">
        <f>AL20</f>
        <v>375</v>
      </c>
      <c r="M13" s="69">
        <f t="shared" si="1"/>
        <v>78</v>
      </c>
      <c r="AA13" s="112" t="s">
        <v>2493</v>
      </c>
      <c r="AB13" s="112" t="s">
        <v>2483</v>
      </c>
      <c r="AC13" t="s">
        <v>2672</v>
      </c>
      <c r="AE13" s="1">
        <v>232</v>
      </c>
      <c r="AF13" s="1">
        <v>246</v>
      </c>
      <c r="AG13" s="6">
        <f t="shared" ref="AG13:AH20" si="2">AE13/AE$21</f>
        <v>0.88212927756653992</v>
      </c>
      <c r="AH13" s="6">
        <f t="shared" si="2"/>
        <v>0.9213483146067416</v>
      </c>
      <c r="AI13" t="str">
        <f t="shared" ref="AI13:AI20" si="3">TEXT(AF13,"#,##0")&amp;CHAR(10)&amp;"("&amp;TEXT(AH13,"0%"&amp;")")</f>
        <v>246
(92%)</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22</v>
      </c>
      <c r="L14" s="69">
        <f t="shared" si="7"/>
        <v>29</v>
      </c>
      <c r="M14" s="69">
        <f t="shared" si="1"/>
        <v>7</v>
      </c>
      <c r="AA14" s="112" t="s">
        <v>2491</v>
      </c>
      <c r="AB14" s="112" t="s">
        <v>2481</v>
      </c>
      <c r="AC14" t="s">
        <v>2673</v>
      </c>
      <c r="AE14" s="1">
        <v>1</v>
      </c>
      <c r="AF14" s="1">
        <v>0</v>
      </c>
      <c r="AG14" s="6">
        <f t="shared" si="2"/>
        <v>3.8022813688212928E-3</v>
      </c>
      <c r="AH14" s="6">
        <f t="shared" si="2"/>
        <v>0</v>
      </c>
      <c r="AI14" t="str">
        <f t="shared" si="3"/>
        <v>0
(0%)</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0</v>
      </c>
      <c r="AF15" s="1">
        <v>0</v>
      </c>
      <c r="AG15" s="6">
        <f t="shared" si="2"/>
        <v>0</v>
      </c>
      <c r="AH15" s="6">
        <f t="shared" si="2"/>
        <v>0</v>
      </c>
      <c r="AI15" t="str">
        <f t="shared" si="3"/>
        <v>0
(0%)</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20</v>
      </c>
      <c r="H16" s="69">
        <f t="shared" si="6"/>
        <v>0</v>
      </c>
      <c r="I16" s="69">
        <f t="shared" si="0"/>
        <v>-20</v>
      </c>
      <c r="J16" s="29"/>
      <c r="K16" s="69">
        <f t="shared" si="7"/>
        <v>308</v>
      </c>
      <c r="L16" s="69">
        <f t="shared" si="7"/>
        <v>269</v>
      </c>
      <c r="M16" s="69">
        <f t="shared" si="1"/>
        <v>-39</v>
      </c>
      <c r="AA16" s="112" t="s">
        <v>2487</v>
      </c>
      <c r="AB16" s="112" t="s">
        <v>2477</v>
      </c>
      <c r="AC16" t="s">
        <v>2666</v>
      </c>
      <c r="AE16" s="1">
        <v>10</v>
      </c>
      <c r="AF16" s="1">
        <v>1</v>
      </c>
      <c r="AG16" s="6">
        <f t="shared" si="2"/>
        <v>3.8022813688212927E-2</v>
      </c>
      <c r="AH16" s="6">
        <f t="shared" si="2"/>
        <v>3.7453183520599251E-3</v>
      </c>
      <c r="AI16" t="str">
        <f t="shared" si="3"/>
        <v>1
(0%)</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232</v>
      </c>
      <c r="H17" s="69">
        <f>AF13</f>
        <v>246</v>
      </c>
      <c r="I17" s="69">
        <f t="shared" si="0"/>
        <v>14</v>
      </c>
      <c r="J17" s="29"/>
      <c r="K17" s="69">
        <f>AK13</f>
        <v>9551</v>
      </c>
      <c r="L17" s="69">
        <f>AL13</f>
        <v>9762</v>
      </c>
      <c r="M17" s="69">
        <f t="shared" si="1"/>
        <v>211</v>
      </c>
      <c r="AA17" s="112" t="s">
        <v>2485</v>
      </c>
      <c r="AB17" s="112" t="s">
        <v>2475</v>
      </c>
      <c r="AC17" t="s">
        <v>2675</v>
      </c>
      <c r="AE17" s="1">
        <v>0</v>
      </c>
      <c r="AF17" s="1">
        <v>0</v>
      </c>
      <c r="AG17" s="6">
        <f t="shared" si="2"/>
        <v>0</v>
      </c>
      <c r="AH17" s="6">
        <f t="shared" si="2"/>
        <v>0</v>
      </c>
      <c r="AI17" t="str">
        <f t="shared" si="3"/>
        <v>0
(0%)</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263</v>
      </c>
      <c r="H18" s="72">
        <f>SUM(H10:H17)</f>
        <v>267</v>
      </c>
      <c r="I18" s="72">
        <f>SUM(I10:I17)</f>
        <v>4</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v>
      </c>
      <c r="AF19" s="1">
        <v>0</v>
      </c>
      <c r="AG19" s="6">
        <f t="shared" si="2"/>
        <v>7.6045627376425853E-2</v>
      </c>
      <c r="AH19" s="6">
        <f t="shared" si="2"/>
        <v>0</v>
      </c>
      <c r="AI19" t="str">
        <f t="shared" si="3"/>
        <v>0
(0%)</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20</v>
      </c>
      <c r="AG20" s="6">
        <f t="shared" si="2"/>
        <v>0</v>
      </c>
      <c r="AH20" s="6">
        <f t="shared" si="2"/>
        <v>7.4906367041198504E-2</v>
      </c>
      <c r="AI20" t="str">
        <f t="shared" si="3"/>
        <v>20
(7%)</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263</v>
      </c>
      <c r="AF21" s="3">
        <v>267</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Almira</v>
      </c>
      <c r="AH24" s="16" t="str">
        <f>City_label</f>
        <v>Almira</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v>
      </c>
      <c r="AF26" s="5">
        <f>AF16</f>
        <v>1</v>
      </c>
      <c r="AG26" s="6">
        <f>AE26/$AE$31</f>
        <v>3.8022813688212927E-2</v>
      </c>
      <c r="AH26" s="6">
        <f>AF26/$AF$31</f>
        <v>3.7453183520599251E-3</v>
      </c>
      <c r="AI26" t="str">
        <f>TEXT(AF26,"#,##0")&amp;CHAR(10)&amp;"("&amp;TEXT(AH26,"0%"&amp;")")</f>
        <v>1
(0%)</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0</v>
      </c>
      <c r="AG27" s="6">
        <f>AE27/$AE$31</f>
        <v>3.8022813688212928E-3</v>
      </c>
      <c r="AH27" s="6">
        <f>AF27/$AF$31</f>
        <v>0</v>
      </c>
      <c r="AI27" t="str">
        <f>TEXT(AF27,"#,##0")&amp;CHAR(10)&amp;"("&amp;TEXT(AH27,"0%"&amp;")")</f>
        <v>0
(0%)</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0</v>
      </c>
      <c r="AF28" s="5">
        <f>AF20</f>
        <v>20</v>
      </c>
      <c r="AG28" s="6">
        <f>AE28/$AE$31</f>
        <v>0</v>
      </c>
      <c r="AH28" s="6">
        <f>AF28/$AF$31</f>
        <v>7.4906367041198504E-2</v>
      </c>
      <c r="AI28" t="str">
        <f>TEXT(AF28,"#,##0")&amp;CHAR(10)&amp;"("&amp;TEXT(AH28,"0%"&amp;")")</f>
        <v>20
(7%)</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Almira population by race and Hispanic or Latino ethnicity, 2020</v>
      </c>
      <c r="D29" s="301"/>
      <c r="E29" s="301"/>
      <c r="F29" s="301"/>
      <c r="G29" s="301"/>
      <c r="H29" s="301"/>
      <c r="I29" s="301"/>
      <c r="J29" s="301"/>
      <c r="K29" s="301"/>
      <c r="L29" s="301"/>
      <c r="M29" s="301"/>
      <c r="AC29" t="s">
        <v>2706</v>
      </c>
      <c r="AE29" s="5">
        <f>SUM(AE15,AE17,AE18,AE19)</f>
        <v>20</v>
      </c>
      <c r="AF29" s="5">
        <f>SUM(AF15,AF17,AF18,AF19)</f>
        <v>0</v>
      </c>
      <c r="AG29" s="6">
        <f>AE29/$AE$31</f>
        <v>7.6045627376425853E-2</v>
      </c>
      <c r="AH29" s="6">
        <f>AF29/$AF$31</f>
        <v>0</v>
      </c>
      <c r="AI29" t="str">
        <f>TEXT(AF29,"#,##0")&amp;CHAR(10)&amp;"("&amp;TEXT(AH29,"0%"&amp;")")</f>
        <v>0
(0%)</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232</v>
      </c>
      <c r="AF30" s="5">
        <f>AF13</f>
        <v>246</v>
      </c>
      <c r="AG30" s="6">
        <f>AE30/$AE$31</f>
        <v>0.88212927756653992</v>
      </c>
      <c r="AH30" s="6">
        <f>AF30/$AF$31</f>
        <v>0.9213483146067416</v>
      </c>
      <c r="AI30" t="str">
        <f>TEXT(AF30,"#,##0")&amp;CHAR(10)&amp;"("&amp;TEXT(AH30,"0%"&amp;")")</f>
        <v>246
(92%)</v>
      </c>
      <c r="AK30" s="5">
        <f>AK13</f>
        <v>9551</v>
      </c>
      <c r="AL30" s="5">
        <f>AL13</f>
        <v>9762</v>
      </c>
      <c r="AM30" s="6">
        <f>AK30/$AK$31</f>
        <v>0.92164431149281101</v>
      </c>
      <c r="AN30" s="6">
        <f>AL30/$AL$31</f>
        <v>0.90961610137905324</v>
      </c>
    </row>
    <row r="31" spans="3:51">
      <c r="AC31" t="s">
        <v>2667</v>
      </c>
      <c r="AE31" s="37">
        <f>SUM(AE26:AE30)</f>
        <v>263</v>
      </c>
      <c r="AF31" s="37">
        <f>SUM(AF26:AF30)</f>
        <v>267</v>
      </c>
      <c r="AK31" s="37">
        <f>SUM(AK26:AK30)</f>
        <v>10363</v>
      </c>
      <c r="AL31" s="37">
        <f>SUM(AL26:AL30)</f>
        <v>10732</v>
      </c>
    </row>
    <row r="32" spans="3:51">
      <c r="C32" s="16"/>
    </row>
    <row r="33" spans="27:40">
      <c r="AE33" s="5"/>
      <c r="AF33" s="5"/>
      <c r="AG33" s="6"/>
      <c r="AH33" s="6"/>
      <c r="AK33" s="5"/>
      <c r="AL33" s="5"/>
      <c r="AM33" s="6"/>
      <c r="AN33" s="6"/>
    </row>
    <row r="35" spans="27:40">
      <c r="AF35" s="47" t="str">
        <f>City_label</f>
        <v>Almira</v>
      </c>
      <c r="AG35" s="297" t="str">
        <f>City_label</f>
        <v>Almira</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20</v>
      </c>
      <c r="AG37" s="6">
        <f>AG20</f>
        <v>0</v>
      </c>
      <c r="AH37" s="6">
        <f>AH20</f>
        <v>7.4906367041198504E-2</v>
      </c>
      <c r="AI37" t="str">
        <f>TEXT(AF37,"#,##0")&amp;CHAR(10)&amp;"("&amp;TEXT(AH37,"0%"&amp;")")</f>
        <v>20
(7%)</v>
      </c>
      <c r="AK37" s="5">
        <f>AK20</f>
        <v>297</v>
      </c>
      <c r="AL37" s="5">
        <f>AL20</f>
        <v>375</v>
      </c>
      <c r="AM37" s="6">
        <f>AM20</f>
        <v>2.8659654540191065E-2</v>
      </c>
      <c r="AN37" s="6">
        <f>AN20</f>
        <v>3.4942228848304134E-2</v>
      </c>
    </row>
    <row r="38" spans="27:40">
      <c r="AC38" t="s">
        <v>2739</v>
      </c>
      <c r="AE38" s="5">
        <f>SUM(AE14:AE19)</f>
        <v>31</v>
      </c>
      <c r="AF38" s="5">
        <f>SUM(AF14:AF19)</f>
        <v>1</v>
      </c>
      <c r="AG38" s="6">
        <f>SUM(AG14:AG19)</f>
        <v>0.11787072243346007</v>
      </c>
      <c r="AH38" s="6">
        <f>SUM(AH14:AH19)</f>
        <v>3.7453183520599251E-3</v>
      </c>
      <c r="AI38" t="str">
        <f>TEXT(AF38,"#,##0")&amp;CHAR(10)&amp;"("&amp;TEXT(AH38,"0%"&amp;")")</f>
        <v>1
(0%)</v>
      </c>
      <c r="AK38" s="5">
        <f>SUM(AK14:AK19)</f>
        <v>515</v>
      </c>
      <c r="AL38" s="5">
        <f>SUM(AL14:AL19)</f>
        <v>595</v>
      </c>
      <c r="AM38" s="6">
        <f>SUM(AM14:AM19)</f>
        <v>4.9696033966997968E-2</v>
      </c>
      <c r="AN38" s="6">
        <f>SUM(AN14:AN19)</f>
        <v>5.5441669772642567E-2</v>
      </c>
    </row>
    <row r="39" spans="27:40">
      <c r="AC39" t="s">
        <v>2672</v>
      </c>
      <c r="AE39" s="5">
        <f>AE13</f>
        <v>232</v>
      </c>
      <c r="AF39" s="5">
        <f>AF13</f>
        <v>246</v>
      </c>
      <c r="AG39" s="6">
        <f>AG13</f>
        <v>0.88212927756653992</v>
      </c>
      <c r="AH39" s="6">
        <f>AH13</f>
        <v>0.9213483146067416</v>
      </c>
      <c r="AI39" t="str">
        <f>TEXT(AF39,"#,##0")&amp;CHAR(10)&amp;"("&amp;TEXT(AH39,"0%"&amp;")")</f>
        <v>246
(92%)</v>
      </c>
      <c r="AK39" s="5">
        <f>AK13</f>
        <v>9551</v>
      </c>
      <c r="AL39" s="5">
        <f>AL13</f>
        <v>9762</v>
      </c>
      <c r="AM39" s="6">
        <f>AM13</f>
        <v>0.92164431149281101</v>
      </c>
      <c r="AN39" s="6">
        <f>AN13</f>
        <v>0.90961610137905324</v>
      </c>
    </row>
    <row r="40" spans="27:40" ht="14.25" customHeight="1">
      <c r="AD40" t="s">
        <v>2667</v>
      </c>
      <c r="AE40" s="37">
        <f>SUM(AE37:AE38)</f>
        <v>31</v>
      </c>
      <c r="AF40" s="37">
        <f>SUM(AF37:AF38)</f>
        <v>21</v>
      </c>
      <c r="AG40" s="53">
        <f>SUM(AG37:AG38)</f>
        <v>0.11787072243346007</v>
      </c>
      <c r="AH40" s="53">
        <f>SUM(AH37:AH38)</f>
        <v>7.8651685393258425E-2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Almira</v>
      </c>
      <c r="AF49" s="36" t="str">
        <f>City_label</f>
        <v>Almira</v>
      </c>
      <c r="AG49" s="36" t="str">
        <f>City_label</f>
        <v>Almira</v>
      </c>
      <c r="AH49" s="98" t="str">
        <f>IF(AH50&gt;=1, "Small Numbers", "")</f>
        <v>Small Numbers</v>
      </c>
      <c r="AK49" s="36" t="str">
        <f>City_label</f>
        <v>Almira</v>
      </c>
      <c r="AL49" s="36" t="str">
        <f>City_label</f>
        <v>Almira</v>
      </c>
      <c r="AM49" s="36" t="str">
        <f>City_label</f>
        <v>Almira</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232</v>
      </c>
      <c r="AF52" s="1">
        <v>53</v>
      </c>
      <c r="AG52" s="6">
        <f t="shared" ref="AG52:AG60" si="9">IFERROR(((AF52/1.645)/AE52), 0)</f>
        <v>0.13887433183104497</v>
      </c>
      <c r="AH52" s="98">
        <f>IF(AG52&gt;MOE_Threshold, 1, 0)</f>
        <v>0</v>
      </c>
      <c r="AK52" s="1">
        <v>246</v>
      </c>
      <c r="AL52" s="1">
        <v>80</v>
      </c>
      <c r="AM52" s="6">
        <f t="shared" ref="AM52:AM60" si="10">IFERROR(((AL52/1.645)/AK52), 0)</f>
        <v>0.19769194652432845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3</v>
      </c>
      <c r="AG53" s="6">
        <f t="shared" si="9"/>
        <v>1.8237082066869301</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10</v>
      </c>
      <c r="AF55" s="1">
        <v>14</v>
      </c>
      <c r="AG55" s="6">
        <f t="shared" si="9"/>
        <v>0.85106382978723405</v>
      </c>
      <c r="AH55" s="98">
        <f>IF(AG55&gt;MOE_Threshold, 1, 0)</f>
        <v>1</v>
      </c>
      <c r="AK55" s="1">
        <v>1</v>
      </c>
      <c r="AL55" s="1">
        <v>3</v>
      </c>
      <c r="AM55" s="6">
        <f t="shared" si="10"/>
        <v>1.8237082066869301</v>
      </c>
      <c r="AN55" s="98">
        <f>IF(AM55&gt;MOE_Threshold, 1, 0)</f>
        <v>1</v>
      </c>
    </row>
    <row r="56" spans="3:40" ht="18">
      <c r="C56" s="51" t="str">
        <f>"Chart 1a. "&amp; City_label &amp; " population by race and Hispanic ethnicity, 2020"</f>
        <v>Chart 1a. Almira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20</v>
      </c>
      <c r="AF58" s="1">
        <v>23</v>
      </c>
      <c r="AG58" s="6">
        <f t="shared" si="9"/>
        <v>0.69908814589665647</v>
      </c>
      <c r="AH58" s="98"/>
      <c r="AK58" s="1">
        <v>0</v>
      </c>
      <c r="AL58" s="1">
        <v>13</v>
      </c>
      <c r="AM58" s="6">
        <f t="shared" si="10"/>
        <v>0</v>
      </c>
      <c r="AN58" s="98"/>
    </row>
    <row r="59" spans="3:40">
      <c r="AA59" s="112" t="s">
        <v>2496</v>
      </c>
      <c r="AB59" s="112" t="s">
        <v>2494</v>
      </c>
      <c r="AC59" t="s">
        <v>2790</v>
      </c>
      <c r="AE59" s="1">
        <v>0</v>
      </c>
      <c r="AF59" s="1">
        <v>12</v>
      </c>
      <c r="AG59" s="6">
        <f t="shared" si="9"/>
        <v>0</v>
      </c>
      <c r="AH59" s="98">
        <f>IF(AG59&gt;MOE_Threshold, 1, 0)</f>
        <v>0</v>
      </c>
      <c r="AK59" s="1">
        <v>20</v>
      </c>
      <c r="AL59" s="1">
        <v>24</v>
      </c>
      <c r="AM59" s="6">
        <f t="shared" si="10"/>
        <v>0.72948328267477203</v>
      </c>
      <c r="AN59" s="98">
        <f>IF(AM59&gt;MOE_Threshold, 1, 0)</f>
        <v>1</v>
      </c>
    </row>
    <row r="60" spans="3:40">
      <c r="AA60" s="112" t="s">
        <v>2500</v>
      </c>
      <c r="AB60" s="112" t="s">
        <v>2498</v>
      </c>
      <c r="AC60" s="16" t="s">
        <v>2667</v>
      </c>
      <c r="AE60" s="2">
        <v>263</v>
      </c>
      <c r="AF60" s="2">
        <v>64</v>
      </c>
      <c r="AG60" s="6">
        <f t="shared" si="9"/>
        <v>0.14793070371098038</v>
      </c>
      <c r="AH60" s="98">
        <f>IF(AG60&gt;MOE_Threshold, 1, 0)</f>
        <v>0</v>
      </c>
      <c r="AK60" s="2">
        <v>267</v>
      </c>
      <c r="AL60" s="2">
        <v>81</v>
      </c>
      <c r="AM60" s="6">
        <f t="shared" si="10"/>
        <v>0.18441993101328505</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Almira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Almira</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3.8022813688212927E-2</v>
      </c>
      <c r="G79" s="179">
        <f t="shared" si="13"/>
        <v>3.7453183520599251E-3</v>
      </c>
      <c r="H79" s="179">
        <f t="shared" ref="H79:I83" si="14">AM26</f>
        <v>6.6583035800443884E-3</v>
      </c>
      <c r="I79" s="179">
        <f t="shared" si="14"/>
        <v>6.5225493850167727E-3</v>
      </c>
    </row>
    <row r="80" spans="3:40">
      <c r="C80" s="29" t="s">
        <v>2673</v>
      </c>
      <c r="D80" s="29"/>
      <c r="E80" s="29"/>
      <c r="F80" s="101">
        <f t="shared" si="13"/>
        <v>3.8022813688212928E-3</v>
      </c>
      <c r="G80" s="101">
        <f t="shared" si="13"/>
        <v>0</v>
      </c>
      <c r="H80" s="101">
        <f t="shared" si="14"/>
        <v>2.4124288333494163E-3</v>
      </c>
      <c r="I80" s="101">
        <f t="shared" si="14"/>
        <v>5.1248602310846065E-3</v>
      </c>
    </row>
    <row r="81" spans="3:10">
      <c r="C81" s="29" t="s">
        <v>2790</v>
      </c>
      <c r="D81" s="29"/>
      <c r="E81" s="29"/>
      <c r="F81" s="179">
        <f t="shared" si="13"/>
        <v>0</v>
      </c>
      <c r="G81" s="179">
        <f t="shared" si="13"/>
        <v>7.4906367041198504E-2</v>
      </c>
      <c r="H81" s="179">
        <f t="shared" si="14"/>
        <v>2.8659654540191065E-2</v>
      </c>
      <c r="I81" s="179">
        <f t="shared" si="14"/>
        <v>3.4942228848304134E-2</v>
      </c>
    </row>
    <row r="82" spans="3:10">
      <c r="C82" s="29" t="s">
        <v>2706</v>
      </c>
      <c r="D82" s="29"/>
      <c r="E82" s="29"/>
      <c r="F82" s="101">
        <f t="shared" si="13"/>
        <v>7.6045627376425853E-2</v>
      </c>
      <c r="G82" s="101">
        <f t="shared" si="13"/>
        <v>0</v>
      </c>
      <c r="H82" s="101">
        <f t="shared" si="14"/>
        <v>4.0625301553604172E-2</v>
      </c>
      <c r="I82" s="101">
        <f t="shared" si="14"/>
        <v>4.3794260156541184E-2</v>
      </c>
    </row>
    <row r="83" spans="3:10" ht="13.9" customHeight="1">
      <c r="C83" s="29" t="s">
        <v>2672</v>
      </c>
      <c r="D83" s="29"/>
      <c r="E83" s="29"/>
      <c r="F83" s="179">
        <f t="shared" si="13"/>
        <v>0.88212927756653992</v>
      </c>
      <c r="G83" s="179">
        <f t="shared" si="13"/>
        <v>0.9213483146067416</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Almira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Almira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Almira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Almira number of households by housing cost burden, 2019</v>
      </c>
      <c r="J4" t="s">
        <v>2791</v>
      </c>
      <c r="R4" s="16" t="s">
        <v>2702</v>
      </c>
      <c r="S4" s="52" t="str">
        <f>City</f>
        <v>Almira town,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60</v>
      </c>
      <c r="G10" s="102">
        <f t="shared" si="0"/>
        <v>0</v>
      </c>
      <c r="H10" s="102">
        <f t="shared" si="0"/>
        <v>0</v>
      </c>
      <c r="I10" s="102">
        <f t="shared" si="0"/>
        <v>0</v>
      </c>
      <c r="J10" s="102">
        <f t="shared" si="0"/>
        <v>0</v>
      </c>
      <c r="K10" s="102">
        <f t="shared" si="0"/>
        <v>0</v>
      </c>
      <c r="L10" s="102">
        <f t="shared" si="0"/>
        <v>0</v>
      </c>
      <c r="M10" s="102">
        <f>SUM(F10:L10)</f>
        <v>60</v>
      </c>
      <c r="S10" s="33" t="s">
        <v>12</v>
      </c>
      <c r="T10" s="5">
        <f t="shared" ref="T10:AA13" si="1">T30+T50</f>
        <v>85</v>
      </c>
      <c r="U10" s="5">
        <f t="shared" si="1"/>
        <v>0</v>
      </c>
      <c r="V10" s="5">
        <f t="shared" si="1"/>
        <v>0</v>
      </c>
      <c r="W10" s="5">
        <f t="shared" si="1"/>
        <v>0</v>
      </c>
      <c r="X10" s="5">
        <f t="shared" si="1"/>
        <v>0</v>
      </c>
      <c r="Y10" s="5">
        <f t="shared" si="1"/>
        <v>0</v>
      </c>
      <c r="Z10" s="5">
        <f t="shared" si="1"/>
        <v>0</v>
      </c>
      <c r="AA10" s="5">
        <f t="shared" si="1"/>
        <v>85</v>
      </c>
      <c r="AB10" s="5"/>
      <c r="AC10" s="5"/>
      <c r="AD10" s="33" t="s">
        <v>12</v>
      </c>
      <c r="AE10" s="5">
        <f>V10</f>
        <v>0</v>
      </c>
      <c r="AF10" s="5">
        <f>U10</f>
        <v>0</v>
      </c>
      <c r="AG10" s="5">
        <f>'Cost Burden'!Z10</f>
        <v>0</v>
      </c>
      <c r="AH10" s="5">
        <f>SUM(W10:Y10)</f>
        <v>0</v>
      </c>
      <c r="AI10" s="5">
        <f t="shared" ref="AI10" si="2">SUM(U10:Z10)</f>
        <v>0</v>
      </c>
      <c r="AJ10" s="5">
        <f>T10</f>
        <v>85</v>
      </c>
      <c r="AK10" s="5">
        <f t="shared" ref="AK10" si="3">SUM(AJ10,AE10:AH10)</f>
        <v>85</v>
      </c>
      <c r="AQ10" s="31"/>
      <c r="BC10" s="41"/>
      <c r="BG10" s="311"/>
      <c r="BH10" s="311"/>
      <c r="BI10" s="311"/>
    </row>
    <row r="11" spans="3:66" ht="13.9" customHeight="1">
      <c r="C11" s="69" t="str">
        <f>S36</f>
        <v>Total Cost-Burdened</v>
      </c>
      <c r="D11" s="29"/>
      <c r="E11" s="29"/>
      <c r="F11" s="102">
        <f>T36</f>
        <v>14</v>
      </c>
      <c r="G11" s="102">
        <f t="shared" ref="G11:L11" si="4">U36</f>
        <v>0</v>
      </c>
      <c r="H11" s="102">
        <f t="shared" si="4"/>
        <v>4</v>
      </c>
      <c r="I11" s="102">
        <f t="shared" si="4"/>
        <v>0</v>
      </c>
      <c r="J11" s="102">
        <f t="shared" si="4"/>
        <v>0</v>
      </c>
      <c r="K11" s="102">
        <f t="shared" si="4"/>
        <v>0</v>
      </c>
      <c r="L11" s="102">
        <f t="shared" si="4"/>
        <v>0</v>
      </c>
      <c r="M11" s="102">
        <f t="shared" ref="M11:M14" si="5">SUM(F11:L11)</f>
        <v>18</v>
      </c>
      <c r="S11" s="33" t="s">
        <v>1981</v>
      </c>
      <c r="T11" s="5">
        <f t="shared" si="1"/>
        <v>10</v>
      </c>
      <c r="U11" s="5">
        <f t="shared" si="1"/>
        <v>0</v>
      </c>
      <c r="V11" s="5">
        <f t="shared" si="1"/>
        <v>4</v>
      </c>
      <c r="W11" s="5">
        <f t="shared" si="1"/>
        <v>0</v>
      </c>
      <c r="X11" s="5">
        <f t="shared" si="1"/>
        <v>0</v>
      </c>
      <c r="Y11" s="5">
        <f t="shared" si="1"/>
        <v>0</v>
      </c>
      <c r="Z11" s="5">
        <f t="shared" si="1"/>
        <v>0</v>
      </c>
      <c r="AA11" s="5">
        <f t="shared" si="1"/>
        <v>14</v>
      </c>
      <c r="AB11" s="5"/>
      <c r="AC11" s="5"/>
      <c r="AD11" s="33" t="s">
        <v>1981</v>
      </c>
      <c r="AE11" s="5">
        <f t="shared" ref="AE11:AE14" si="6">V11</f>
        <v>4</v>
      </c>
      <c r="AF11" s="5">
        <f t="shared" ref="AF11:AF13" si="7">U11</f>
        <v>0</v>
      </c>
      <c r="AG11" s="5">
        <f>'Cost Burden'!Z11</f>
        <v>0</v>
      </c>
      <c r="AH11" s="5">
        <f t="shared" ref="AH11:AH13" si="8">SUM(W11:Y11)</f>
        <v>0</v>
      </c>
      <c r="AI11" s="5">
        <f t="shared" ref="AI11:AI13" si="9">SUM(U11:Z11)</f>
        <v>4</v>
      </c>
      <c r="AJ11" s="5">
        <f t="shared" ref="AJ11:AJ13" si="10">T11</f>
        <v>10</v>
      </c>
      <c r="AK11" s="5">
        <f t="shared" ref="AK11:AK13" si="11">SUM(AJ11,AE11:AH11)</f>
        <v>14</v>
      </c>
      <c r="AQ11" s="31"/>
      <c r="BC11" s="41"/>
      <c r="BH11" s="197"/>
    </row>
    <row r="12" spans="3:66">
      <c r="C12" s="117" t="str">
        <f>S31</f>
        <v>Cost-Burdened (30-50%)</v>
      </c>
      <c r="D12" s="118"/>
      <c r="E12" s="118"/>
      <c r="F12" s="214">
        <f t="shared" ref="F12:L14" si="12">T31</f>
        <v>10</v>
      </c>
      <c r="G12" s="214">
        <f t="shared" si="12"/>
        <v>0</v>
      </c>
      <c r="H12" s="214">
        <f t="shared" si="12"/>
        <v>4</v>
      </c>
      <c r="I12" s="214">
        <f t="shared" si="12"/>
        <v>0</v>
      </c>
      <c r="J12" s="214">
        <f t="shared" si="12"/>
        <v>0</v>
      </c>
      <c r="K12" s="214">
        <f t="shared" si="12"/>
        <v>0</v>
      </c>
      <c r="L12" s="214">
        <f t="shared" si="12"/>
        <v>0</v>
      </c>
      <c r="M12" s="214">
        <f t="shared" si="5"/>
        <v>14</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103</v>
      </c>
      <c r="U14" s="37">
        <f t="shared" si="13"/>
        <v>0</v>
      </c>
      <c r="V14" s="37">
        <f t="shared" si="13"/>
        <v>4</v>
      </c>
      <c r="W14" s="37">
        <f t="shared" si="13"/>
        <v>0</v>
      </c>
      <c r="X14" s="37">
        <f t="shared" si="13"/>
        <v>0</v>
      </c>
      <c r="Y14" s="37">
        <f t="shared" si="13"/>
        <v>0</v>
      </c>
      <c r="Z14" s="37">
        <f t="shared" si="13"/>
        <v>0</v>
      </c>
      <c r="AA14" s="37">
        <f>AA34+AA54</f>
        <v>104</v>
      </c>
      <c r="AB14" s="5"/>
      <c r="AC14" s="5"/>
      <c r="AD14" s="34" t="s">
        <v>1</v>
      </c>
      <c r="AE14" s="37">
        <f t="shared" si="6"/>
        <v>4</v>
      </c>
      <c r="AF14" s="37">
        <f t="shared" ref="AF14" si="14">U14</f>
        <v>0</v>
      </c>
      <c r="AG14" s="37">
        <f>'Cost Burden'!Z14</f>
        <v>0</v>
      </c>
      <c r="AH14" s="37">
        <f t="shared" ref="AH14" si="15">SUM(W14:Y14)</f>
        <v>0</v>
      </c>
      <c r="AI14" s="37">
        <f t="shared" ref="AI14" si="16">SUM(U14:Z14)</f>
        <v>4</v>
      </c>
      <c r="AJ14" s="37">
        <f t="shared" ref="AJ14" si="17">T14</f>
        <v>103</v>
      </c>
      <c r="AK14" s="58">
        <f>AA14</f>
        <v>104</v>
      </c>
      <c r="BC14" s="41"/>
      <c r="BH14" s="196"/>
    </row>
    <row r="15" spans="3:66">
      <c r="C15" s="29"/>
      <c r="D15" s="29"/>
      <c r="E15" s="75" t="str">
        <f>S14</f>
        <v>Total</v>
      </c>
      <c r="F15" s="104">
        <f>T34</f>
        <v>75</v>
      </c>
      <c r="G15" s="104">
        <f t="shared" ref="G15:L15" si="18">U34</f>
        <v>0</v>
      </c>
      <c r="H15" s="104">
        <f t="shared" si="18"/>
        <v>4</v>
      </c>
      <c r="I15" s="104">
        <f t="shared" si="18"/>
        <v>0</v>
      </c>
      <c r="J15" s="104">
        <f t="shared" si="18"/>
        <v>0</v>
      </c>
      <c r="K15" s="104">
        <f t="shared" si="18"/>
        <v>0</v>
      </c>
      <c r="L15" s="104">
        <f t="shared" si="18"/>
        <v>0</v>
      </c>
      <c r="M15" s="104">
        <f>SUM(F15:L15)</f>
        <v>79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11"/>
      <c r="BH16" s="311"/>
      <c r="BI16" s="311"/>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0</v>
      </c>
      <c r="L17" s="102">
        <f t="shared" si="21"/>
        <v>0</v>
      </c>
      <c r="M17" s="102">
        <f>SUM(F17:L17)</f>
        <v>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v>
      </c>
      <c r="G22" s="106">
        <f t="shared" ref="G22:L22" si="25">U54</f>
        <v>0</v>
      </c>
      <c r="H22" s="106">
        <f t="shared" si="25"/>
        <v>0</v>
      </c>
      <c r="I22" s="106">
        <f t="shared" si="25"/>
        <v>0</v>
      </c>
      <c r="J22" s="106">
        <f t="shared" si="25"/>
        <v>0</v>
      </c>
      <c r="K22" s="106">
        <f t="shared" si="25"/>
        <v>0</v>
      </c>
      <c r="L22" s="106">
        <f t="shared" si="25"/>
        <v>0</v>
      </c>
      <c r="M22" s="104">
        <f>SUM(F22:L22)</f>
        <v>25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60</v>
      </c>
      <c r="AK22" s="5">
        <f>AA30</f>
        <v>60</v>
      </c>
      <c r="AQ22" s="31"/>
      <c r="BC22" s="41"/>
    </row>
    <row r="23" spans="3:55" ht="14.25" customHeight="1" thickBot="1">
      <c r="C23" s="77"/>
      <c r="D23" s="77"/>
      <c r="E23" s="78" t="s">
        <v>2709</v>
      </c>
      <c r="F23" s="107">
        <f>SUM(F15,F22)</f>
        <v>100</v>
      </c>
      <c r="G23" s="107">
        <f t="shared" ref="G23:M23" si="26">SUM(G15,G22)</f>
        <v>0</v>
      </c>
      <c r="H23" s="107">
        <f t="shared" si="26"/>
        <v>4</v>
      </c>
      <c r="I23" s="107">
        <f t="shared" si="26"/>
        <v>0</v>
      </c>
      <c r="J23" s="107">
        <f t="shared" si="26"/>
        <v>0</v>
      </c>
      <c r="K23" s="107">
        <f t="shared" si="26"/>
        <v>0</v>
      </c>
      <c r="L23" s="107">
        <f t="shared" si="26"/>
        <v>0</v>
      </c>
      <c r="M23" s="107">
        <f t="shared" si="26"/>
        <v>104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10</v>
      </c>
      <c r="AK23" s="5">
        <f t="shared" ref="AK23:AK25" si="32">AA31</f>
        <v>14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0</v>
      </c>
      <c r="AI26" s="37">
        <f t="shared" si="30"/>
        <v>4</v>
      </c>
      <c r="AJ26" s="37">
        <f t="shared" si="31"/>
        <v>75</v>
      </c>
      <c r="AK26" s="37">
        <f>SUM(AJ26,AE26:AH26)</f>
        <v>79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Almira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60</v>
      </c>
      <c r="U30" s="1">
        <v>0</v>
      </c>
      <c r="V30" s="1">
        <v>0</v>
      </c>
      <c r="W30" s="1">
        <v>0</v>
      </c>
      <c r="X30" s="1">
        <v>0</v>
      </c>
      <c r="Y30" s="1">
        <v>0</v>
      </c>
      <c r="Z30" s="1">
        <v>0</v>
      </c>
      <c r="AA30" s="5">
        <f>SUM(T30:Z30)</f>
        <v>60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4</v>
      </c>
      <c r="W31" s="1">
        <v>0</v>
      </c>
      <c r="X31" s="1">
        <v>0</v>
      </c>
      <c r="Y31" s="1">
        <v>0</v>
      </c>
      <c r="Z31" s="1">
        <v>0</v>
      </c>
      <c r="AA31" s="5">
        <f t="shared" ref="AA31:AA34" si="33">SUM(T31:Z31)</f>
        <v>14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25</v>
      </c>
      <c r="AK33" s="5">
        <f t="shared" ref="AK33" si="34">SUM(AJ33,AE33:AH33)</f>
        <v>25</v>
      </c>
    </row>
    <row r="34" spans="3:49">
      <c r="S34" s="33" t="s">
        <v>2</v>
      </c>
      <c r="T34" s="1">
        <v>75</v>
      </c>
      <c r="U34" s="1">
        <v>0</v>
      </c>
      <c r="V34" s="1">
        <v>4</v>
      </c>
      <c r="W34" s="1">
        <v>0</v>
      </c>
      <c r="X34" s="1">
        <v>0</v>
      </c>
      <c r="Y34" s="1">
        <v>0</v>
      </c>
      <c r="Z34" s="1">
        <v>0</v>
      </c>
      <c r="AA34" s="37">
        <f t="shared" si="33"/>
        <v>79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14</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25</v>
      </c>
      <c r="AK37" s="37">
        <f t="shared" si="40"/>
        <v>25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0.16</v>
      </c>
      <c r="AF40" s="6" t="e">
        <f>AI39/AI37</f>
        <v>#DIV/0!</v>
      </c>
      <c r="AG40" s="6" t="e">
        <f>AE39/AE37</f>
        <v>#DIV/0!</v>
      </c>
      <c r="AH40" s="6" t="e">
        <f>AF39/AF37</f>
        <v>#DIV/0!</v>
      </c>
      <c r="AI40" s="6" t="e">
        <f>AH39/AH37</f>
        <v>#DIV/0!</v>
      </c>
      <c r="AJ40" s="6" t="e">
        <f>AG39/AG37</f>
        <v>#DIV/0!</v>
      </c>
      <c r="AK40" s="6">
        <f>AK39/AK37</f>
        <v>0.16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t="str">
        <f t="shared" si="42"/>
        <v>0</v>
      </c>
      <c r="AH47" s="44" t="str">
        <f t="shared" si="42"/>
        <v>0</v>
      </c>
      <c r="AJ47" s="44">
        <f t="shared" si="42"/>
        <v>1</v>
      </c>
      <c r="AK47" s="44">
        <f t="shared" si="42"/>
        <v>0.17475728155339804</v>
      </c>
    </row>
    <row r="48" spans="3:49" ht="14.25" customHeight="1">
      <c r="AC48" s="31"/>
      <c r="AD48" s="31" t="s">
        <v>2365</v>
      </c>
      <c r="AE48" s="44">
        <f>1-AE47</f>
        <v>0</v>
      </c>
      <c r="AF48" s="44">
        <f>1-AF47</f>
        <v>1</v>
      </c>
      <c r="AG48" s="44">
        <f>1-AG47</f>
        <v>1</v>
      </c>
      <c r="AH48" s="44">
        <f>1-AH47</f>
        <v>1</v>
      </c>
      <c r="AJ48" s="44">
        <f>1-AJ47</f>
        <v>0</v>
      </c>
      <c r="AK48" s="44">
        <f>1-AK47</f>
        <v>0.82524271844660202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e">
        <f t="shared" si="43"/>
        <v>#DIV/0!</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25</v>
      </c>
      <c r="U50" s="1">
        <v>0</v>
      </c>
      <c r="V50" s="1">
        <v>0</v>
      </c>
      <c r="W50" s="1">
        <v>0</v>
      </c>
      <c r="X50" s="1">
        <v>0</v>
      </c>
      <c r="Y50" s="1">
        <v>0</v>
      </c>
      <c r="Z50" s="1">
        <v>0</v>
      </c>
      <c r="AA50" s="5">
        <f>SUM(T50:Z50)</f>
        <v>25</v>
      </c>
      <c r="AB50" s="56"/>
      <c r="AC50" s="31"/>
      <c r="AD50" s="31" t="s">
        <v>12</v>
      </c>
      <c r="AE50" s="44">
        <f>AE10/AE14</f>
        <v>0</v>
      </c>
      <c r="AF50" s="44" t="e">
        <f t="shared" ref="AF50:AH50" si="44">AF10/AF14</f>
        <v>#DIV/0!</v>
      </c>
      <c r="AG50" s="44" t="e">
        <f t="shared" si="44"/>
        <v>#DIV/0!</v>
      </c>
      <c r="AH50" s="44" t="e">
        <f t="shared" si="44"/>
        <v>#DIV/0!</v>
      </c>
      <c r="AJ50" s="44">
        <f>AI10/AI14</f>
        <v>0</v>
      </c>
      <c r="AK50" s="44">
        <f>AJ10/AJ14</f>
        <v>0.82524271844660191</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f>AE11/AE14</f>
        <v>1</v>
      </c>
      <c r="AF51" s="44" t="e">
        <f t="shared" ref="AF51:AH51" si="46">AF11/AF14</f>
        <v>#DIV/0!</v>
      </c>
      <c r="AG51" s="44" t="e">
        <f t="shared" si="46"/>
        <v>#DIV/0!</v>
      </c>
      <c r="AH51" s="44" t="e">
        <f t="shared" si="46"/>
        <v>#DIV/0!</v>
      </c>
      <c r="AJ51" s="44">
        <f>AI11/AI14</f>
        <v>1</v>
      </c>
      <c r="AK51" s="44">
        <f>AJ11/AJ14</f>
        <v>9.7087378640776698E-2</v>
      </c>
      <c r="AL51" s="31"/>
      <c r="AM51" s="31"/>
      <c r="AN51" s="31"/>
      <c r="AO51" s="31"/>
    </row>
    <row r="52" spans="3:48">
      <c r="S52" s="33" t="s">
        <v>1982</v>
      </c>
      <c r="T52" s="1">
        <v>4</v>
      </c>
      <c r="U52" s="1">
        <v>0</v>
      </c>
      <c r="V52" s="1">
        <v>0</v>
      </c>
      <c r="W52" s="1">
        <v>0</v>
      </c>
      <c r="X52" s="1">
        <v>0</v>
      </c>
      <c r="Y52" s="1">
        <v>0</v>
      </c>
      <c r="Z52" s="1">
        <v>0</v>
      </c>
      <c r="AA52" s="5">
        <f t="shared" si="45"/>
        <v>4</v>
      </c>
      <c r="AD52" s="31" t="s">
        <v>1982</v>
      </c>
      <c r="AE52" s="44">
        <f>AE12/AE14</f>
        <v>0</v>
      </c>
      <c r="AF52" s="44" t="e">
        <f t="shared" ref="AF52:AH52" si="47">AF12/AF14</f>
        <v>#DIV/0!</v>
      </c>
      <c r="AG52" s="44" t="e">
        <f t="shared" si="47"/>
        <v>#DIV/0!</v>
      </c>
      <c r="AH52" s="44" t="e">
        <f t="shared" si="47"/>
        <v>#DIV/0!</v>
      </c>
      <c r="AJ52" s="44">
        <f>AI12/AI14</f>
        <v>0</v>
      </c>
      <c r="AK52" s="44">
        <f>AJ12/AJ14</f>
        <v>7.7669902912621352E-2</v>
      </c>
      <c r="AL52" s="31"/>
      <c r="AM52" s="31"/>
      <c r="AN52" s="31"/>
      <c r="AO52" s="31"/>
    </row>
    <row r="53" spans="3:48" ht="18" customHeight="1">
      <c r="C53" s="301" t="str">
        <f>"Chart 4a. "&amp;City_label&amp;" total housing cost burden by racial and ethnic group, 2019"</f>
        <v>Chart 4a. Almira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25</v>
      </c>
      <c r="U54" s="1">
        <v>0</v>
      </c>
      <c r="V54" s="1">
        <v>0</v>
      </c>
      <c r="W54" s="1">
        <v>0</v>
      </c>
      <c r="X54" s="1">
        <v>0</v>
      </c>
      <c r="Y54" s="1">
        <v>0</v>
      </c>
      <c r="Z54" s="1">
        <v>0</v>
      </c>
      <c r="AA54" s="37">
        <f t="shared" si="45"/>
        <v>25</v>
      </c>
      <c r="AD54" s="59" t="s">
        <v>2695</v>
      </c>
      <c r="AE54" s="31" t="str">
        <f>"Total Cost Burdened: "&amp;TEXT(AE47,"0%")</f>
        <v>Total Cost Burdened: 100%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100%</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f>IFERROR(IF(SUM(AE60:AE61)&gt;0, SUM(AE60:AE61), "0%"), "0%")</f>
        <v>1</v>
      </c>
      <c r="AF56" s="268" t="str">
        <f t="shared" ref="AF56:AH56" si="49">IFERROR(IF(SUM(AF60:AF61)&gt;0, SUM(AF60:AF61), "0%"), "0%")</f>
        <v>0%</v>
      </c>
      <c r="AG56" s="268" t="str">
        <f t="shared" si="49"/>
        <v>0%</v>
      </c>
      <c r="AH56" s="268" t="str">
        <f t="shared" si="49"/>
        <v>0%</v>
      </c>
      <c r="AI56" s="44"/>
      <c r="AJ56" s="44">
        <f t="shared" ref="AJ56:AK56" si="50">IFERROR(IF(SUM(AJ60:AJ61)&gt;0, SUM(AJ60:AJ61), "0"), "0")</f>
        <v>1</v>
      </c>
      <c r="AK56" s="44">
        <f t="shared" si="50"/>
        <v>0.18666666666666668</v>
      </c>
      <c r="AL56" s="31"/>
      <c r="AM56" s="31"/>
      <c r="AN56" s="31"/>
      <c r="AO56" s="31"/>
    </row>
    <row r="57" spans="3:48" ht="14.25" customHeight="1">
      <c r="AD57" s="31" t="s">
        <v>2365</v>
      </c>
      <c r="AE57" s="44">
        <f>1-AE56</f>
        <v>0</v>
      </c>
      <c r="AF57" s="44">
        <f>1-AF56</f>
        <v>1</v>
      </c>
      <c r="AG57" s="44">
        <f>1-AG56</f>
        <v>1</v>
      </c>
      <c r="AH57" s="44">
        <f>1-AH56</f>
        <v>1</v>
      </c>
      <c r="AJ57" s="44">
        <f>1-AJ56</f>
        <v>0</v>
      </c>
      <c r="AK57" s="44">
        <f>1-AK56</f>
        <v>0.81333333333333335</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t="e">
        <f t="shared" si="52"/>
        <v>#DIV/0!</v>
      </c>
      <c r="AH59" s="44" t="e">
        <f t="shared" si="52"/>
        <v>#DIV/0!</v>
      </c>
      <c r="AJ59" s="44">
        <f>AI22/AI26</f>
        <v>0</v>
      </c>
      <c r="AK59" s="44">
        <f>AJ22/AJ26</f>
        <v>0.8</v>
      </c>
      <c r="AL59" s="31"/>
      <c r="AM59" s="31"/>
      <c r="AN59" s="31"/>
      <c r="AO59" s="31"/>
      <c r="AQ59" s="31"/>
      <c r="AR59" s="31"/>
      <c r="AS59" s="31"/>
      <c r="AT59" s="31"/>
      <c r="AU59" s="31"/>
      <c r="AV59" s="31"/>
    </row>
    <row r="60" spans="3:48">
      <c r="AD60" s="31" t="s">
        <v>1981</v>
      </c>
      <c r="AE60" s="44">
        <f>AE23/AE26</f>
        <v>1</v>
      </c>
      <c r="AF60" s="44" t="e">
        <f t="shared" ref="AF60:AH60" si="53">AF23/AF26</f>
        <v>#DIV/0!</v>
      </c>
      <c r="AG60" s="44" t="e">
        <f t="shared" si="53"/>
        <v>#DIV/0!</v>
      </c>
      <c r="AH60" s="44" t="e">
        <f t="shared" si="53"/>
        <v>#DIV/0!</v>
      </c>
      <c r="AJ60" s="44">
        <f>AI23/AI26</f>
        <v>1</v>
      </c>
      <c r="AK60" s="44">
        <f>AJ23/AJ26</f>
        <v>0.13333333333333333</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t="e">
        <f t="shared" si="54"/>
        <v>#DIV/0!</v>
      </c>
      <c r="AJ61" s="44">
        <f>AI24/AI26</f>
        <v>0</v>
      </c>
      <c r="AK61" s="44">
        <f>AJ24/AJ26</f>
        <v>5.3333333333333337E-2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100%</v>
      </c>
      <c r="AK63" s="31" t="str">
        <f>"Total Cost Burdened: "&amp;TEXT(AK56,"0%")</f>
        <v>Total Cost Burdened: 19%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16%</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Almira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20</v>
      </c>
    </row>
    <row r="77" spans="3:48">
      <c r="C77" s="301"/>
      <c r="D77" s="301"/>
      <c r="E77" s="301"/>
      <c r="F77" s="301"/>
      <c r="G77" s="301"/>
      <c r="H77" s="301"/>
      <c r="I77" s="301"/>
      <c r="J77" s="301"/>
      <c r="K77" s="301"/>
      <c r="L77" s="301"/>
      <c r="M77" s="301"/>
      <c r="S77" s="33" t="s">
        <v>1981</v>
      </c>
      <c r="T77" s="1">
        <v>12</v>
      </c>
      <c r="U77" s="1">
        <v>5</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41</v>
      </c>
      <c r="V80" s="37">
        <f t="shared" si="61"/>
        <v>48</v>
      </c>
      <c r="W80" s="37">
        <f t="shared" si="61"/>
        <v>48</v>
      </c>
      <c r="X80" s="37">
        <f t="shared" si="61"/>
        <v>48</v>
      </c>
      <c r="Y80" s="37">
        <f t="shared" si="61"/>
        <v>48</v>
      </c>
      <c r="Z80" s="37">
        <f t="shared" si="61"/>
        <v>56</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0.20263424518743667</v>
      </c>
    </row>
    <row r="84" spans="19:26">
      <c r="S84" s="33" t="s">
        <v>1981</v>
      </c>
      <c r="T84" s="6">
        <f>IFERROR((((T77/1.645)/W31)),0)</f>
        <v>0</v>
      </c>
      <c r="U84" s="6">
        <f>IFERROR((((U77/1.645)/V31)),0)</f>
        <v>0.75987841945288748</v>
      </c>
      <c r="V84" s="6">
        <f>IFERROR((((V77/1.645)/U31)),0)</f>
        <v>0</v>
      </c>
      <c r="W84" s="6">
        <f>IFERROR((((W77/1.645)/Z31)),0)</f>
        <v>0</v>
      </c>
      <c r="X84" s="6">
        <f>IFERROR((((X77/1.645)/Y31)),0)</f>
        <v>0</v>
      </c>
      <c r="Y84" s="6">
        <f>IFERROR((((Y77/1.645)/X31)),0)</f>
        <v>0</v>
      </c>
      <c r="Z84" s="6">
        <f>IFERROR((((Z77/1.645)/T31)),0)</f>
        <v>0.72948328267477203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Almira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54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0.43768996960486317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Almira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Almira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Almira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v>
      </c>
      <c r="G181" s="116">
        <f>AK50</f>
        <v>0.82524271844660191</v>
      </c>
      <c r="H181" s="269">
        <f>AE50</f>
        <v>0</v>
      </c>
      <c r="I181" s="270" t="e">
        <f>AF50</f>
        <v>#DIV/0!</v>
      </c>
      <c r="J181" s="270" t="e">
        <f>AG50</f>
        <v>#DIV/0!</v>
      </c>
      <c r="K181" s="270" t="e">
        <f>AH50</f>
        <v>#DIV/0!</v>
      </c>
    </row>
    <row r="182" spans="3:28" ht="18.75" customHeight="1">
      <c r="C182" s="29" t="s">
        <v>2364</v>
      </c>
      <c r="D182" s="29"/>
      <c r="E182" s="29"/>
      <c r="F182" s="116">
        <f>AJ47</f>
        <v>1</v>
      </c>
      <c r="G182" s="116">
        <f>AK47</f>
        <v>0.17475728155339804</v>
      </c>
      <c r="H182" s="269">
        <f>AE47</f>
        <v>1</v>
      </c>
      <c r="I182" s="270" t="str">
        <f>AF47</f>
        <v>0</v>
      </c>
      <c r="J182" s="270" t="str">
        <f>AG47</f>
        <v>0</v>
      </c>
      <c r="K182" s="270" t="str">
        <f>AH47</f>
        <v>0</v>
      </c>
    </row>
    <row r="183" spans="3:28" ht="18.75" customHeight="1">
      <c r="C183" s="121" t="s">
        <v>1981</v>
      </c>
      <c r="D183" s="118"/>
      <c r="E183" s="118"/>
      <c r="F183" s="122">
        <f>AJ51</f>
        <v>1</v>
      </c>
      <c r="G183" s="122">
        <f>AK51</f>
        <v>9.7087378640776698E-2</v>
      </c>
      <c r="H183" s="271">
        <f t="shared" ref="H183:K184" si="63">AE51</f>
        <v>1</v>
      </c>
      <c r="I183" s="272" t="e">
        <f t="shared" si="63"/>
        <v>#DIV/0!</v>
      </c>
      <c r="J183" s="272" t="e">
        <f t="shared" si="63"/>
        <v>#DIV/0!</v>
      </c>
      <c r="K183" s="272" t="e">
        <f t="shared" si="63"/>
        <v>#DIV/0!</v>
      </c>
    </row>
    <row r="184" spans="3:28">
      <c r="C184" s="121" t="s">
        <v>1982</v>
      </c>
      <c r="D184" s="118"/>
      <c r="E184" s="118"/>
      <c r="F184" s="122">
        <f>AJ52</f>
        <v>0</v>
      </c>
      <c r="G184" s="122">
        <f>AK52</f>
        <v>7.7669902912621352E-2</v>
      </c>
      <c r="H184" s="271">
        <f t="shared" si="63"/>
        <v>0</v>
      </c>
      <c r="I184" s="272" t="e">
        <f t="shared" si="63"/>
        <v>#DIV/0!</v>
      </c>
      <c r="J184" s="272" t="e">
        <f t="shared" si="63"/>
        <v>#DIV/0!</v>
      </c>
      <c r="K184" s="272" t="e">
        <f t="shared" si="63"/>
        <v>#DIV/0!</v>
      </c>
    </row>
    <row r="185" spans="3:28">
      <c r="C185" s="29" t="s">
        <v>13</v>
      </c>
      <c r="D185" s="29"/>
      <c r="E185" s="29"/>
      <c r="F185" s="116" t="str">
        <f>AJ49</f>
        <v/>
      </c>
      <c r="G185" s="116" t="str">
        <f>AK49</f>
        <v/>
      </c>
      <c r="H185" s="269" t="str">
        <f>AE49</f>
        <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0.8</v>
      </c>
      <c r="H187" s="269">
        <f>AE59</f>
        <v>0</v>
      </c>
      <c r="I187" s="270" t="e">
        <f>AF59</f>
        <v>#DIV/0!</v>
      </c>
      <c r="J187" s="270" t="e">
        <f>AG59</f>
        <v>#DIV/0!</v>
      </c>
      <c r="K187" s="270" t="e">
        <f>AH59</f>
        <v>#DIV/0!</v>
      </c>
      <c r="AA187" s="99"/>
      <c r="AB187" s="99"/>
    </row>
    <row r="188" spans="3:28" ht="14.25" customHeight="1">
      <c r="C188" s="29" t="s">
        <v>2364</v>
      </c>
      <c r="D188" s="29"/>
      <c r="E188" s="29"/>
      <c r="F188" s="116">
        <f>AJ56</f>
        <v>1</v>
      </c>
      <c r="G188" s="116">
        <f>AK56</f>
        <v>0.18666666666666668</v>
      </c>
      <c r="H188" s="269">
        <f>AE56</f>
        <v>1</v>
      </c>
      <c r="I188" s="270" t="str">
        <f>AF56</f>
        <v>0%</v>
      </c>
      <c r="J188" s="270" t="str">
        <f>AG56</f>
        <v>0%</v>
      </c>
      <c r="K188" s="270" t="str">
        <f>AH56</f>
        <v>0%</v>
      </c>
      <c r="AA188" s="99"/>
      <c r="AB188" s="99"/>
    </row>
    <row r="189" spans="3:28" ht="14.25" customHeight="1">
      <c r="C189" s="121" t="s">
        <v>1981</v>
      </c>
      <c r="D189" s="118"/>
      <c r="E189" s="118"/>
      <c r="F189" s="122">
        <f>AJ60</f>
        <v>1</v>
      </c>
      <c r="G189" s="122">
        <f>AK60</f>
        <v>0.13333333333333333</v>
      </c>
      <c r="H189" s="271">
        <f t="shared" ref="H189:K190" si="64">AE60</f>
        <v>1</v>
      </c>
      <c r="I189" s="272" t="e">
        <f t="shared" si="64"/>
        <v>#DIV/0!</v>
      </c>
      <c r="J189" s="272" t="e">
        <f t="shared" si="64"/>
        <v>#DIV/0!</v>
      </c>
      <c r="K189" s="272" t="e">
        <f t="shared" si="64"/>
        <v>#DIV/0!</v>
      </c>
      <c r="S189" s="99"/>
      <c r="T189" s="82"/>
    </row>
    <row r="190" spans="3:28" ht="14.25" customHeight="1">
      <c r="C190" s="121" t="s">
        <v>1982</v>
      </c>
      <c r="D190" s="118"/>
      <c r="E190" s="118"/>
      <c r="F190" s="122">
        <f>AJ61</f>
        <v>0</v>
      </c>
      <c r="G190" s="122">
        <f>AK61</f>
        <v>5.3333333333333337E-2</v>
      </c>
      <c r="H190" s="271">
        <f t="shared" si="64"/>
        <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0.16</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0.16</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Almira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Almira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Almira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Almira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Almira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Almira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Almira and Lincoln County rental units by affordability and households by income, 2019</v>
      </c>
      <c r="D5" s="328"/>
      <c r="E5" s="328"/>
      <c r="F5" s="328"/>
      <c r="G5" s="328"/>
      <c r="H5" s="328"/>
      <c r="I5" s="328"/>
      <c r="J5" s="328"/>
      <c r="K5" s="328"/>
      <c r="L5" s="328"/>
      <c r="AA5" s="16" t="s">
        <v>2702</v>
      </c>
      <c r="AB5" s="304" t="str">
        <f>City</f>
        <v>Almira town,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Almira</v>
      </c>
      <c r="G8" s="219"/>
      <c r="H8" s="218"/>
      <c r="I8" s="65" t="str">
        <f>City_label</f>
        <v>Almira</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Almira</v>
      </c>
      <c r="AD10" s="63"/>
      <c r="AE10" s="220"/>
      <c r="AF10" s="63" t="str">
        <f>County_label</f>
        <v>Lincoln County</v>
      </c>
      <c r="AG10" s="63"/>
      <c r="AH10" s="220"/>
      <c r="AK10" s="63" t="str">
        <f>City_label</f>
        <v>Almira</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10</v>
      </c>
      <c r="H11" s="209"/>
      <c r="I11" s="255">
        <f>AC22/$AC$27</f>
        <v>0.16</v>
      </c>
      <c r="J11" s="255">
        <f>SUM(AD22:AE22)/SUM($AD$27:$AE$27)</f>
        <v>0.41666666666666669</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0.16</v>
      </c>
      <c r="J12" s="255">
        <f t="shared" ref="J12:J14" si="3">SUM(AD23:AE23)/SUM($AD$27:$AE$27)</f>
        <v>0.16666666666666666</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0.16</v>
      </c>
      <c r="AL12" s="222">
        <f>SUM(AD22:AE22)/SUM($AD$27:$AE$27)</f>
        <v>0.41666666666666669</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10</v>
      </c>
      <c r="H13" s="209"/>
      <c r="I13" s="255">
        <f t="shared" si="2"/>
        <v>0.16</v>
      </c>
      <c r="J13" s="255">
        <f t="shared" si="3"/>
        <v>0.41666666666666669</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0.16</v>
      </c>
      <c r="AL13" s="222">
        <f t="shared" ref="AL13:AL15" si="6">SUM(AD23:AE23)/SUM($AD$27:$AE$27)</f>
        <v>0.16666666666666666</v>
      </c>
      <c r="AN13" s="222">
        <f t="shared" ref="AN13:AN14" si="7">AF23/AF$27</f>
        <v>0.19597989949748743</v>
      </c>
      <c r="AO13" s="222">
        <f t="shared" ref="AO13:AO15" si="8">SUM(AG23:AH23)/SUM($AG$27:$AH$27)</f>
        <v>0.38497652582159625</v>
      </c>
    </row>
    <row r="14" spans="3:70" ht="18" customHeight="1">
      <c r="C14" s="43" t="s">
        <v>2816</v>
      </c>
      <c r="D14" s="29"/>
      <c r="E14" s="29"/>
      <c r="F14" s="210">
        <f t="shared" si="0"/>
        <v>4</v>
      </c>
      <c r="G14" s="208">
        <f t="shared" si="1"/>
        <v>0</v>
      </c>
      <c r="H14" s="211"/>
      <c r="I14" s="255">
        <f t="shared" si="2"/>
        <v>0.16</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0.16</v>
      </c>
      <c r="AL14" s="222">
        <f t="shared" si="6"/>
        <v>0.41666666666666669</v>
      </c>
      <c r="AN14" s="222">
        <f t="shared" si="7"/>
        <v>0.28140703517587939</v>
      </c>
      <c r="AO14" s="222">
        <f t="shared" si="8"/>
        <v>0.2300469483568075</v>
      </c>
      <c r="BP14" s="185"/>
      <c r="BQ14" s="185"/>
      <c r="BR14" s="185"/>
    </row>
    <row r="15" spans="3:70" ht="18" customHeight="1">
      <c r="C15" s="70" t="s">
        <v>2818</v>
      </c>
      <c r="D15" s="70"/>
      <c r="E15" s="70"/>
      <c r="F15" s="212">
        <f t="shared" si="0"/>
        <v>10</v>
      </c>
      <c r="G15" s="212">
        <f>AD26</f>
        <v>0</v>
      </c>
      <c r="H15" s="213"/>
      <c r="I15" s="264">
        <f t="shared" si="2"/>
        <v>0.4</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0.56000000000000005</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25</v>
      </c>
      <c r="G16" s="221">
        <f>SUM(G11:G15)</f>
        <v>24</v>
      </c>
      <c r="AA16" s="28" t="s">
        <v>2725</v>
      </c>
      <c r="AC16" s="112" t="s">
        <v>11</v>
      </c>
      <c r="AD16" s="112"/>
      <c r="AE16" s="112"/>
      <c r="AF16" s="112" t="s">
        <v>11</v>
      </c>
      <c r="AG16" s="112"/>
      <c r="AH16" s="112"/>
      <c r="AJ16" s="28"/>
      <c r="AK16" s="223">
        <f>SUM(AK12:AK15)</f>
        <v>1.04</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Almira and Lincoln County renter household income compared to rental unit affordability, 2019</v>
      </c>
      <c r="D20" s="301"/>
      <c r="E20" s="301"/>
      <c r="F20" s="301"/>
      <c r="G20" s="301"/>
      <c r="H20" s="301"/>
      <c r="I20" s="301"/>
      <c r="J20" s="301"/>
      <c r="K20" s="301"/>
      <c r="L20" s="301"/>
      <c r="AA20" s="31"/>
      <c r="AC20" s="63" t="str">
        <f>City_label</f>
        <v>Almira</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10</v>
      </c>
      <c r="AE22" s="1">
        <v>0</v>
      </c>
      <c r="AF22" s="1">
        <v>165</v>
      </c>
      <c r="AG22" s="1">
        <v>345</v>
      </c>
      <c r="AH22" s="1">
        <v>25</v>
      </c>
    </row>
    <row r="23" spans="3:71" ht="17.25" customHeight="1">
      <c r="AA23" s="7" t="s">
        <v>2828</v>
      </c>
      <c r="AC23" s="1">
        <v>4</v>
      </c>
      <c r="AD23" s="1">
        <v>4</v>
      </c>
      <c r="AE23" s="1">
        <v>0</v>
      </c>
      <c r="AF23" s="1">
        <v>195</v>
      </c>
      <c r="AG23" s="1">
        <v>380</v>
      </c>
      <c r="AH23" s="1">
        <v>30</v>
      </c>
    </row>
    <row r="24" spans="3:71" ht="17.25" customHeight="1">
      <c r="C24" s="51"/>
      <c r="AA24" s="7" t="s">
        <v>2829</v>
      </c>
      <c r="AC24" s="1">
        <v>4</v>
      </c>
      <c r="AD24" s="1">
        <v>10</v>
      </c>
      <c r="AE24" s="1">
        <v>0</v>
      </c>
      <c r="AF24" s="1">
        <v>280</v>
      </c>
      <c r="AG24" s="1">
        <v>235</v>
      </c>
      <c r="AH24" s="1">
        <v>10</v>
      </c>
    </row>
    <row r="25" spans="3:71" ht="17.25" customHeight="1">
      <c r="C25" s="51"/>
      <c r="AA25" s="7" t="s">
        <v>2831</v>
      </c>
      <c r="AC25" s="1">
        <v>4</v>
      </c>
      <c r="AD25" s="1">
        <v>0</v>
      </c>
      <c r="AE25" s="1">
        <v>0</v>
      </c>
      <c r="AF25" s="1">
        <v>90</v>
      </c>
      <c r="AG25" s="1">
        <v>35</v>
      </c>
      <c r="AH25" s="1">
        <v>0</v>
      </c>
    </row>
    <row r="26" spans="3:71" ht="17.25" customHeight="1">
      <c r="C26" s="51"/>
      <c r="AA26" s="28" t="s">
        <v>2725</v>
      </c>
      <c r="AC26" s="1">
        <v>10</v>
      </c>
      <c r="AD26" s="1"/>
      <c r="AE26" s="1"/>
      <c r="AF26" s="1">
        <v>270</v>
      </c>
      <c r="AG26" s="1"/>
      <c r="AH26" s="1"/>
      <c r="AI26" s="31"/>
    </row>
    <row r="27" spans="3:71" ht="18">
      <c r="C27" s="51"/>
      <c r="AA27" s="7" t="s">
        <v>2</v>
      </c>
      <c r="AC27" s="2">
        <v>25</v>
      </c>
      <c r="AD27" s="1">
        <v>24</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10.4</v>
      </c>
      <c r="AI35" t="str">
        <f>IF(AE35&lt;0,"Shortfall:",IF(AE35&gt;0,"Surplus: ",""))&amp;CHAR(10)&amp;TEXT((AE35),"+#,##0;-#,##0;0")&amp;" units"</f>
        <v>Surplus: 
+6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4</v>
      </c>
      <c r="AD37" s="33">
        <f>SUM(AD24:AE24)</f>
        <v>10</v>
      </c>
      <c r="AE37" s="188">
        <f>AD37-AC37</f>
        <v>6</v>
      </c>
      <c r="AF37" s="31"/>
      <c r="AG37" s="5">
        <f>MAX(AC37,AD37)</f>
        <v>10</v>
      </c>
      <c r="AH37" s="5">
        <f>AG37+$AH$39</f>
        <v>10.4</v>
      </c>
      <c r="AI37" t="str">
        <f>IF(AE37&lt;0,"Shortfall:",IF(AE37&gt;0,"Surplus: ",""))&amp;CHAR(10)&amp;TEXT((AE37),"+#,##0;-#,##0;0")&amp;" units"</f>
        <v>Surplus: 
+6 units</v>
      </c>
    </row>
    <row r="38" spans="3:39">
      <c r="AA38" s="7" t="s">
        <v>2831</v>
      </c>
      <c r="AB38" s="164" t="s">
        <v>1273</v>
      </c>
      <c r="AC38" s="5">
        <f>SUM(AC25:AC26)</f>
        <v>14</v>
      </c>
      <c r="AD38" s="33">
        <f>SUM(AD25:AE25)</f>
        <v>0</v>
      </c>
      <c r="AE38" s="188">
        <f>AD38-AC38</f>
        <v>-14</v>
      </c>
      <c r="AF38" s="31"/>
      <c r="AG38" s="5">
        <f>MAX(AC38,AD38)</f>
        <v>14</v>
      </c>
      <c r="AH38" s="5">
        <f>AG38+$AH$39</f>
        <v>14.4</v>
      </c>
      <c r="AI38" t="str">
        <f>IF(AE38&lt;0,"Shortfall:",IF(AE38&gt;0,"Surplus: ",""))&amp;CHAR(10)&amp;TEXT((AE38),"+#,##0;-#,##0;0")&amp;" units"</f>
        <v>Shortfall:
-14 units</v>
      </c>
    </row>
    <row r="39" spans="3:39">
      <c r="AA39" s="28" t="s">
        <v>2725</v>
      </c>
      <c r="AC39" s="5">
        <f>AC27</f>
        <v>25</v>
      </c>
      <c r="AD39" s="33">
        <f>SUM(AD27:AE27)</f>
        <v>24</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Almira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10</v>
      </c>
      <c r="AD56" s="1">
        <v>15</v>
      </c>
      <c r="AE56" s="1">
        <v>0</v>
      </c>
    </row>
    <row r="57" spans="27:39">
      <c r="AA57" s="7" t="s">
        <v>2829</v>
      </c>
      <c r="AB57" s="31" t="s">
        <v>1272</v>
      </c>
      <c r="AC57" s="1">
        <v>4</v>
      </c>
      <c r="AD57" s="1">
        <v>4</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30</v>
      </c>
      <c r="AD60" s="2">
        <v>30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10.4</v>
      </c>
      <c r="AI65" t="str">
        <f>IF(AE65&lt;0,"Shortfall:",IF(AE65&gt;0,"Surplus: ",""))&amp;CHAR(10)&amp;TEXT((AE65),"+#,##0;-#,##0;0")&amp;" units"</f>
        <v>Shortfall:
-6 units</v>
      </c>
      <c r="AK65" s="31"/>
      <c r="AL65" s="31"/>
      <c r="AM65" s="31"/>
    </row>
    <row r="66" spans="3:39">
      <c r="AA66" s="7"/>
      <c r="AB66" s="31" t="s">
        <v>1271</v>
      </c>
      <c r="AC66" s="5">
        <f>SUM(AC56)</f>
        <v>10</v>
      </c>
      <c r="AD66" s="33">
        <f>SUM(AD56:AE56)</f>
        <v>15</v>
      </c>
      <c r="AE66" s="97">
        <f>AD66-AC66</f>
        <v>5</v>
      </c>
      <c r="AF66" s="31"/>
      <c r="AG66" s="5">
        <f>MAX(AC66,AD66)</f>
        <v>15</v>
      </c>
      <c r="AH66" s="5">
        <f>AG66+$AH$39</f>
        <v>15.4</v>
      </c>
      <c r="AI66" t="str">
        <f>IF(AE66&lt;0,"Shortfall:",IF(AE66&gt;0,"Surplus: ",""))&amp;CHAR(10)&amp;TEXT((AE66),"+#,##0;-#,##0;0")&amp;" units"</f>
        <v>Surplus: 
+5 units</v>
      </c>
      <c r="AK66" s="31"/>
      <c r="AL66" s="31"/>
      <c r="AM66" s="31"/>
    </row>
    <row r="67" spans="3:39">
      <c r="AA67" s="7"/>
      <c r="AB67" s="31" t="s">
        <v>1272</v>
      </c>
      <c r="AC67" s="5">
        <f>SUM(AC57)</f>
        <v>4</v>
      </c>
      <c r="AD67" s="33">
        <f>SUM(AD57:AE57)</f>
        <v>4</v>
      </c>
      <c r="AE67" s="97">
        <f>AD67-AC67</f>
        <v>0</v>
      </c>
      <c r="AF67" s="31"/>
      <c r="AG67" s="5">
        <f>MAX(AC67,AD67)</f>
        <v>4</v>
      </c>
      <c r="AH67" s="5">
        <f>AG67+$AH$39</f>
        <v>4.4000000000000004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30</v>
      </c>
      <c r="AD69" s="33">
        <f>SUM(AD60:AE60)</f>
        <v>30</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Almira five year change in renter households by income and rental units by affordability, 2014 - 2019</v>
      </c>
      <c r="D78" s="328"/>
      <c r="E78" s="328"/>
      <c r="F78" s="328"/>
      <c r="G78" s="328"/>
      <c r="H78" s="328"/>
      <c r="I78" s="328"/>
      <c r="J78" s="328"/>
      <c r="K78" s="328"/>
      <c r="L78" s="328"/>
      <c r="AB78" s="31" t="s">
        <v>1270</v>
      </c>
      <c r="AC78" s="5">
        <f t="shared" ref="AC78:AD80" si="10">AC35-AC65</f>
        <v>-6</v>
      </c>
      <c r="AD78" s="5">
        <f t="shared" si="10"/>
        <v>6</v>
      </c>
      <c r="AE78" s="5">
        <f>AD78-AC78</f>
        <v>12</v>
      </c>
      <c r="AG78" s="5">
        <f>MAX(AC78,AD78)</f>
        <v>6</v>
      </c>
      <c r="AH78" s="5">
        <f>MAX(AG78,0)+$AH$82</f>
        <v>10.199999999999999</v>
      </c>
      <c r="AI78" t="str">
        <f>"Difference:"&amp;CHAR(10)&amp;TEXT(AE78,"+#,##0;-#,##0;0")&amp;" units"</f>
        <v>Difference:
+12 units</v>
      </c>
    </row>
    <row r="79" spans="3:39" ht="18" customHeight="1">
      <c r="C79" s="328"/>
      <c r="D79" s="328"/>
      <c r="E79" s="328"/>
      <c r="F79" s="328"/>
      <c r="G79" s="328"/>
      <c r="H79" s="328"/>
      <c r="I79" s="328"/>
      <c r="J79" s="328"/>
      <c r="K79" s="328"/>
      <c r="L79" s="328"/>
      <c r="AB79" s="31" t="s">
        <v>1271</v>
      </c>
      <c r="AC79" s="5">
        <f t="shared" si="10"/>
        <v>-6</v>
      </c>
      <c r="AD79" s="5">
        <f t="shared" si="10"/>
        <v>-11</v>
      </c>
      <c r="AE79" s="5">
        <f>AD79-AC79</f>
        <v>-5</v>
      </c>
      <c r="AG79" s="5">
        <f>MAX(AC79,AD79)</f>
        <v>-6</v>
      </c>
      <c r="AH79" s="5">
        <f>MAX(AG79,0)+$AH$82</f>
        <v>4.2</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0</v>
      </c>
      <c r="AD80" s="5">
        <f t="shared" si="10"/>
        <v>6</v>
      </c>
      <c r="AE80" s="5">
        <f>AD80-AC80</f>
        <v>6</v>
      </c>
      <c r="AG80" s="5">
        <f>MAX(AC80,AD80)</f>
        <v>6</v>
      </c>
      <c r="AH80" s="5">
        <f>MAX(AG80,0)+$AH$82</f>
        <v>10.199999999999999</v>
      </c>
      <c r="AI80" t="str">
        <f>"Difference:"&amp;CHAR(10)&amp;TEXT(AE80,"+#,##0;-#,##0;0")&amp;" units"</f>
        <v>Difference:
+6 units</v>
      </c>
    </row>
    <row r="81" spans="28:35">
      <c r="AB81" s="31" t="s">
        <v>1273</v>
      </c>
      <c r="AC81" s="5">
        <f>AC39-AC68</f>
        <v>21</v>
      </c>
      <c r="AD81" s="5">
        <f>AD39-AD68</f>
        <v>24</v>
      </c>
      <c r="AE81" s="5">
        <f>AD81-AC81</f>
        <v>3</v>
      </c>
      <c r="AG81" s="5">
        <f>MAX(AC81,AD81)</f>
        <v>24</v>
      </c>
      <c r="AH81" s="5">
        <f>MAX(AG81,0)+$AH$82</f>
        <v>28.2</v>
      </c>
      <c r="AI81" t="str">
        <f>"Difference:"&amp;CHAR(10)&amp;TEXT(AE81,"+#,##0;-#,##0;0")&amp;" units"</f>
        <v>Difference:
+3 units</v>
      </c>
    </row>
    <row r="82" spans="28:35" ht="13.9" customHeight="1">
      <c r="AG82" s="59" t="s">
        <v>2682</v>
      </c>
      <c r="AH82" s="109">
        <f>0.2*MAX(AB78:AC81)</f>
        <v>4.2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Almira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Almira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v>
      </c>
      <c r="I15" s="230">
        <f t="shared" ref="I15:I18" si="1">J15-SUM(C15:H15)</f>
        <v>0</v>
      </c>
      <c r="J15" s="182">
        <f>AI102</f>
        <v>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v>
      </c>
      <c r="I16" s="230">
        <f t="shared" si="1"/>
        <v>0</v>
      </c>
      <c r="J16" s="182">
        <f>AI103</f>
        <v>12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18</v>
      </c>
      <c r="I17" s="230">
        <f t="shared" si="1"/>
        <v>0</v>
      </c>
      <c r="J17" s="182">
        <f>AI104</f>
        <v>18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54</v>
      </c>
      <c r="I18" s="231">
        <f t="shared" si="1"/>
        <v>-4</v>
      </c>
      <c r="J18" s="207">
        <f>AI105</f>
        <v>54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0</v>
      </c>
      <c r="G19" s="228">
        <f t="shared" si="2"/>
        <v>0</v>
      </c>
      <c r="H19" s="228">
        <f t="shared" si="2"/>
        <v>104</v>
      </c>
      <c r="I19" s="232">
        <f t="shared" si="2"/>
        <v>-4</v>
      </c>
      <c r="J19" s="228">
        <f>AI49+AI94</f>
        <v>106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7.407407407407407E-2</v>
      </c>
      <c r="E26" s="181">
        <f t="shared" si="3"/>
        <v>0</v>
      </c>
      <c r="F26" s="181">
        <f t="shared" si="3"/>
        <v>0</v>
      </c>
      <c r="G26" s="181">
        <f t="shared" si="3"/>
        <v>0</v>
      </c>
      <c r="H26" s="181">
        <f t="shared" si="3"/>
        <v>1</v>
      </c>
      <c r="I26" s="181">
        <f t="shared" si="3"/>
        <v>-7.407407407407407E-2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Almira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4</v>
      </c>
      <c r="AH45" s="174"/>
      <c r="AI45" s="174">
        <v>4</v>
      </c>
      <c r="AJ45" s="86">
        <f>(SUM(AB45:AH45))-AI45</f>
        <v>4</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40</v>
      </c>
      <c r="AH46" s="174"/>
      <c r="AI46" s="174">
        <v>40</v>
      </c>
      <c r="AJ46" s="86">
        <f>(SUM(AB46:AH46))-AI46</f>
        <v>0</v>
      </c>
      <c r="AM46" s="174">
        <v>0</v>
      </c>
      <c r="AN46" s="174">
        <v>0</v>
      </c>
      <c r="AO46" s="174">
        <v>0</v>
      </c>
      <c r="AP46" s="174">
        <v>0</v>
      </c>
      <c r="AQ46" s="174">
        <v>0</v>
      </c>
      <c r="AR46" s="174">
        <v>35</v>
      </c>
      <c r="AS46" s="174">
        <v>0</v>
      </c>
      <c r="AT46" s="174">
        <v>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78</v>
      </c>
      <c r="AH48" s="86">
        <f t="shared" si="5"/>
        <v>0</v>
      </c>
      <c r="AI48" s="86">
        <f t="shared" ref="AI48" si="6">SUM(AI33:AI47)</f>
        <v>78</v>
      </c>
      <c r="AJ48" s="86"/>
      <c r="AZ48" s="19"/>
      <c r="BA48" s="19"/>
      <c r="BB48" s="19"/>
      <c r="BC48" s="19"/>
      <c r="BD48" s="19"/>
    </row>
    <row r="49" spans="2:56" ht="13.9" customHeight="1">
      <c r="AA49" s="171" t="s">
        <v>2786</v>
      </c>
      <c r="AI49" s="227">
        <v>80</v>
      </c>
      <c r="AJ49" s="86">
        <f>SUM(AJ33:AJ46)</f>
        <v>4</v>
      </c>
      <c r="AL49" s="171" t="s">
        <v>2774</v>
      </c>
      <c r="AT49" s="174">
        <v>85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1978</v>
      </c>
      <c r="AM53" s="86">
        <f t="shared" ref="AM53:AR53" si="12">SUM(AM39:AM41)</f>
        <v>0</v>
      </c>
      <c r="AN53" s="86">
        <f t="shared" si="12"/>
        <v>0</v>
      </c>
      <c r="AO53" s="86">
        <f t="shared" si="12"/>
        <v>0</v>
      </c>
      <c r="AP53" s="86">
        <f t="shared" si="12"/>
        <v>0</v>
      </c>
      <c r="AQ53" s="86">
        <f t="shared" si="12"/>
        <v>0</v>
      </c>
      <c r="AR53" s="86">
        <f t="shared" si="12"/>
        <v>19</v>
      </c>
      <c r="AS53" s="5">
        <f>SUM(AS39:AS41)</f>
        <v>0</v>
      </c>
      <c r="AT53" s="86">
        <f>SUM(AT39:AT41)</f>
        <v>19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14</v>
      </c>
      <c r="AH54" s="86">
        <f t="shared" si="13"/>
        <v>0</v>
      </c>
      <c r="AI54" s="86">
        <f t="shared" si="13"/>
        <v>14</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2" t="str">
        <f>"Chart 13a. "&amp;City_label&amp;" number of households by income category and race, 2019"</f>
        <v>Chart 13a. Almira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4</v>
      </c>
      <c r="AE55" s="86">
        <f t="shared" si="15"/>
        <v>0</v>
      </c>
      <c r="AF55" s="86">
        <f t="shared" si="15"/>
        <v>0</v>
      </c>
      <c r="AG55" s="86">
        <f t="shared" si="15"/>
        <v>44</v>
      </c>
      <c r="AH55" s="86">
        <f t="shared" si="15"/>
        <v>0</v>
      </c>
      <c r="AI55" s="86">
        <f t="shared" si="15"/>
        <v>44</v>
      </c>
      <c r="AL55" s="60" t="s">
        <v>1897</v>
      </c>
      <c r="AM55" s="86">
        <f t="shared" ref="AM55:AR55" si="16">SUM(AM45:AM47)</f>
        <v>0</v>
      </c>
      <c r="AN55" s="86">
        <f t="shared" si="16"/>
        <v>0</v>
      </c>
      <c r="AO55" s="86">
        <f t="shared" si="16"/>
        <v>0</v>
      </c>
      <c r="AP55" s="86">
        <f t="shared" si="16"/>
        <v>0</v>
      </c>
      <c r="AQ55" s="86">
        <f t="shared" si="16"/>
        <v>0</v>
      </c>
      <c r="AR55" s="86">
        <f t="shared" si="16"/>
        <v>35</v>
      </c>
      <c r="AS55" s="5">
        <f>SUM(AS45:AS47)</f>
        <v>0</v>
      </c>
      <c r="AT55" s="86">
        <f>SUM(AT45:AT47)</f>
        <v>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78</v>
      </c>
      <c r="AH56" s="128">
        <f t="shared" si="17"/>
        <v>0</v>
      </c>
      <c r="AI56" s="128">
        <f t="shared" si="17"/>
        <v>78</v>
      </c>
      <c r="AJ56" s="86"/>
      <c r="AL56" s="163" t="s">
        <v>2841</v>
      </c>
      <c r="AM56" s="128">
        <f t="shared" ref="AM56:AT56" si="18">SUM(AM51:AM55)</f>
        <v>0</v>
      </c>
      <c r="AN56" s="128">
        <f t="shared" si="18"/>
        <v>0</v>
      </c>
      <c r="AO56" s="128">
        <f t="shared" si="18"/>
        <v>0</v>
      </c>
      <c r="AP56" s="128">
        <f t="shared" si="18"/>
        <v>0</v>
      </c>
      <c r="AQ56" s="128">
        <f t="shared" si="18"/>
        <v>0</v>
      </c>
      <c r="AR56" s="128">
        <f t="shared" si="18"/>
        <v>90</v>
      </c>
      <c r="AS56" s="246">
        <f>SUM(AS51:AS55)</f>
        <v>0</v>
      </c>
      <c r="AT56" s="128">
        <f t="shared" si="18"/>
        <v>90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Almira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26</v>
      </c>
      <c r="AH94" s="128"/>
      <c r="AI94" s="128">
        <f>SUM(AI89:AI93)</f>
        <v>26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v>
      </c>
      <c r="AS99" s="86">
        <f t="shared" ref="AS99:AS102" si="29">AT99-SUM(AM99:AR99)</f>
        <v>0</v>
      </c>
      <c r="AT99" s="86">
        <f>SUM(AT83:AT85)</f>
        <v>8</v>
      </c>
      <c r="AZ99" s="19"/>
      <c r="BA99" s="19"/>
      <c r="BB99" s="19"/>
      <c r="BC99" s="19"/>
      <c r="BD99" s="19"/>
    </row>
    <row r="100" spans="2:56" ht="18" customHeight="1">
      <c r="B100" s="342" t="str">
        <f>"Chart 14a. "&amp;City_label&amp;" distribution of households by income and race or ethnicity, 2019"</f>
        <v>Chart 14a. Almira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v>
      </c>
      <c r="AH102" s="244">
        <f t="shared" si="31"/>
        <v>0</v>
      </c>
      <c r="AI102" s="147">
        <f t="shared" si="32"/>
        <v>8</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v>
      </c>
      <c r="AH103" s="244">
        <f t="shared" si="31"/>
        <v>0</v>
      </c>
      <c r="AI103" s="147">
        <f t="shared" si="32"/>
        <v>12</v>
      </c>
      <c r="AJ103" s="86"/>
      <c r="AL103" s="163" t="s">
        <v>2841</v>
      </c>
      <c r="AM103" s="128">
        <f t="shared" ref="AM103:AT103" si="41">SUM(AM98:AM102)</f>
        <v>0</v>
      </c>
      <c r="AN103" s="128">
        <f t="shared" si="41"/>
        <v>0</v>
      </c>
      <c r="AO103" s="128">
        <f t="shared" si="41"/>
        <v>0</v>
      </c>
      <c r="AP103" s="128">
        <f t="shared" si="41"/>
        <v>0</v>
      </c>
      <c r="AQ103" s="128">
        <f t="shared" si="41"/>
        <v>0</v>
      </c>
      <c r="AR103" s="128">
        <f t="shared" si="41"/>
        <v>26</v>
      </c>
      <c r="AS103" s="128">
        <f t="shared" si="41"/>
        <v>0</v>
      </c>
      <c r="AT103" s="128">
        <f t="shared" si="41"/>
        <v>26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18</v>
      </c>
      <c r="AH104" s="244">
        <f t="shared" si="31"/>
        <v>0</v>
      </c>
      <c r="AI104" s="147">
        <f t="shared" si="32"/>
        <v>18</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54</v>
      </c>
      <c r="AH105" s="244">
        <f t="shared" si="31"/>
        <v>-4</v>
      </c>
      <c r="AI105" s="147">
        <f t="shared" si="32"/>
        <v>54</v>
      </c>
      <c r="AJ105" s="86"/>
      <c r="AZ105" s="19"/>
      <c r="BA105" s="19"/>
      <c r="BB105" s="19"/>
      <c r="BC105" s="19"/>
    </row>
    <row r="106" spans="2:56" ht="18" customHeight="1">
      <c r="Z106" s="90"/>
      <c r="AA106" s="127" t="s">
        <v>3</v>
      </c>
      <c r="AB106" s="177">
        <f>SUM(AF56,AF94)</f>
        <v>0</v>
      </c>
      <c r="AC106" s="177">
        <f>SUM(AD56,AD94)</f>
        <v>4</v>
      </c>
      <c r="AD106" s="177">
        <f>SUM(AC56,AC94)</f>
        <v>0</v>
      </c>
      <c r="AE106" s="177">
        <f>SUM(AB56,AB94)</f>
        <v>0</v>
      </c>
      <c r="AF106" s="177">
        <f>SUM(AE56,AE94)</f>
        <v>0</v>
      </c>
      <c r="AG106" s="177">
        <f>SUM(AG56,AG94)</f>
        <v>104</v>
      </c>
      <c r="AH106" s="114">
        <f>SUM(AH101:AH105)</f>
        <v>-4</v>
      </c>
      <c r="AI106" s="177">
        <f t="shared" si="32"/>
        <v>104</v>
      </c>
      <c r="AJ106" s="86"/>
      <c r="AL106" s="7"/>
      <c r="AM106" s="7"/>
      <c r="AN106" s="7"/>
      <c r="AO106" s="7"/>
      <c r="AP106" s="7"/>
      <c r="AQ106" s="7"/>
      <c r="AR106" s="7"/>
      <c r="AS106" s="7"/>
      <c r="AT106" s="7"/>
      <c r="AU106" s="7"/>
      <c r="AV106" s="7"/>
    </row>
    <row r="107" spans="2:56" ht="18" customHeight="1">
      <c r="Z107" s="90"/>
      <c r="AA107" s="175" t="s">
        <v>2789</v>
      </c>
      <c r="AI107" s="174">
        <v>105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0</v>
      </c>
      <c r="AT109" s="147">
        <f t="shared" si="45"/>
        <v>18</v>
      </c>
    </row>
    <row r="110" spans="2:56" ht="18" customHeight="1">
      <c r="AA110" s="60" t="s">
        <v>2762</v>
      </c>
      <c r="AB110" s="135">
        <f>IFERROR(AC101/AC$106,"0"%)</f>
        <v>0</v>
      </c>
      <c r="AC110" s="135">
        <f>IFERROR(AD101/AD$106,"0"%)</f>
        <v>0</v>
      </c>
      <c r="AD110" s="135">
        <f>IFERROR(AE101/AE$106, "0"%)</f>
        <v>0</v>
      </c>
      <c r="AE110" s="135">
        <f>IFERROR(AF101/AF$106, "0"%)</f>
        <v>0</v>
      </c>
      <c r="AF110" s="135">
        <f>IFERROR(AG101/AG$106, "0"%)</f>
        <v>0.11538461538461539</v>
      </c>
      <c r="AG110" s="135">
        <f>IFERROR(AI101/AI$106,"0"%)</f>
        <v>0.11538461538461539</v>
      </c>
      <c r="AH110" s="135"/>
      <c r="AL110" s="60" t="s">
        <v>1977</v>
      </c>
      <c r="AM110" s="147">
        <f t="shared" si="42"/>
        <v>0</v>
      </c>
      <c r="AN110" s="147">
        <f t="shared" si="43"/>
        <v>0</v>
      </c>
      <c r="AO110" s="147">
        <f t="shared" si="44"/>
        <v>0</v>
      </c>
      <c r="AP110" s="147">
        <f t="shared" si="45"/>
        <v>0</v>
      </c>
      <c r="AQ110" s="147">
        <f t="shared" si="45"/>
        <v>0</v>
      </c>
      <c r="AR110" s="147">
        <f t="shared" si="45"/>
        <v>16</v>
      </c>
      <c r="AS110" s="245">
        <f t="shared" si="45"/>
        <v>0</v>
      </c>
      <c r="AT110" s="147">
        <f t="shared" si="45"/>
        <v>16</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7.6923076923076927E-2</v>
      </c>
      <c r="AG111" s="135">
        <f t="shared" ref="AG111:AG114" si="48">IFERROR(AI102/AI$106,"0"%)</f>
        <v>7.6923076923076927E-2</v>
      </c>
      <c r="AH111" s="135"/>
      <c r="AL111" s="60" t="s">
        <v>1978</v>
      </c>
      <c r="AM111" s="147">
        <f t="shared" si="42"/>
        <v>0</v>
      </c>
      <c r="AN111" s="147">
        <f t="shared" si="43"/>
        <v>0</v>
      </c>
      <c r="AO111" s="147">
        <f t="shared" si="44"/>
        <v>0</v>
      </c>
      <c r="AP111" s="147">
        <f t="shared" si="45"/>
        <v>0</v>
      </c>
      <c r="AQ111" s="147">
        <f t="shared" si="45"/>
        <v>0</v>
      </c>
      <c r="AR111" s="147">
        <f t="shared" si="45"/>
        <v>23</v>
      </c>
      <c r="AS111" s="245">
        <f t="shared" si="45"/>
        <v>0</v>
      </c>
      <c r="AT111" s="147">
        <f t="shared" si="45"/>
        <v>23</v>
      </c>
    </row>
    <row r="112" spans="2:56" ht="18" customHeight="1">
      <c r="AA112" s="60" t="s">
        <v>1978</v>
      </c>
      <c r="AB112" s="135">
        <f t="shared" si="46"/>
        <v>0</v>
      </c>
      <c r="AC112" s="135">
        <f t="shared" si="46"/>
        <v>0</v>
      </c>
      <c r="AD112" s="135">
        <f t="shared" si="47"/>
        <v>0</v>
      </c>
      <c r="AE112" s="135">
        <f t="shared" si="47"/>
        <v>0</v>
      </c>
      <c r="AF112" s="135">
        <f t="shared" si="47"/>
        <v>0.11538461538461539</v>
      </c>
      <c r="AG112" s="135">
        <f t="shared" si="48"/>
        <v>0.11538461538461539</v>
      </c>
      <c r="AH112" s="135"/>
      <c r="AL112" s="60" t="s">
        <v>1979</v>
      </c>
      <c r="AM112" s="147">
        <f t="shared" si="42"/>
        <v>0</v>
      </c>
      <c r="AN112" s="147">
        <f t="shared" si="43"/>
        <v>0</v>
      </c>
      <c r="AO112" s="147">
        <f t="shared" si="44"/>
        <v>0</v>
      </c>
      <c r="AP112" s="147">
        <f t="shared" si="45"/>
        <v>0</v>
      </c>
      <c r="AQ112" s="147">
        <f t="shared" si="45"/>
        <v>0</v>
      </c>
      <c r="AR112" s="147">
        <f t="shared" si="45"/>
        <v>20</v>
      </c>
      <c r="AS112" s="245">
        <f t="shared" si="45"/>
        <v>0</v>
      </c>
      <c r="AT112" s="147">
        <f t="shared" si="45"/>
        <v>20</v>
      </c>
    </row>
    <row r="113" spans="2:48" ht="18" customHeight="1">
      <c r="AA113" s="60" t="s">
        <v>1979</v>
      </c>
      <c r="AB113" s="135">
        <f t="shared" si="46"/>
        <v>0</v>
      </c>
      <c r="AC113" s="135">
        <f t="shared" si="46"/>
        <v>0</v>
      </c>
      <c r="AD113" s="135">
        <f t="shared" si="47"/>
        <v>0</v>
      </c>
      <c r="AE113" s="135">
        <f t="shared" si="47"/>
        <v>0</v>
      </c>
      <c r="AF113" s="135">
        <f t="shared" si="47"/>
        <v>0.17307692307692307</v>
      </c>
      <c r="AG113" s="135">
        <f t="shared" si="48"/>
        <v>0.17307692307692307</v>
      </c>
      <c r="AH113" s="135"/>
      <c r="AL113" s="60" t="s">
        <v>1897</v>
      </c>
      <c r="AM113" s="147">
        <f t="shared" si="42"/>
        <v>0</v>
      </c>
      <c r="AN113" s="147">
        <f t="shared" si="43"/>
        <v>0</v>
      </c>
      <c r="AO113" s="147">
        <f t="shared" si="44"/>
        <v>0</v>
      </c>
      <c r="AP113" s="147">
        <f t="shared" si="45"/>
        <v>0</v>
      </c>
      <c r="AQ113" s="147">
        <f t="shared" si="45"/>
        <v>0</v>
      </c>
      <c r="AR113" s="147">
        <f t="shared" si="45"/>
        <v>39</v>
      </c>
      <c r="AS113" s="245">
        <f t="shared" si="45"/>
        <v>0</v>
      </c>
      <c r="AT113" s="147">
        <f t="shared" si="45"/>
        <v>39</v>
      </c>
    </row>
    <row r="114" spans="2:48" ht="18" customHeight="1">
      <c r="AA114" s="60" t="s">
        <v>1897</v>
      </c>
      <c r="AB114" s="135">
        <f t="shared" si="46"/>
        <v>1</v>
      </c>
      <c r="AC114" s="135">
        <f t="shared" si="46"/>
        <v>0</v>
      </c>
      <c r="AD114" s="135">
        <f t="shared" si="47"/>
        <v>0</v>
      </c>
      <c r="AE114" s="135">
        <f t="shared" si="47"/>
        <v>0</v>
      </c>
      <c r="AF114" s="135">
        <f t="shared" si="47"/>
        <v>0.51923076923076927</v>
      </c>
      <c r="AG114" s="135">
        <f t="shared" si="48"/>
        <v>0.51923076923076927</v>
      </c>
      <c r="AH114" s="135"/>
      <c r="AL114" s="127" t="s">
        <v>3</v>
      </c>
      <c r="AM114" s="177">
        <f t="shared" si="42"/>
        <v>0</v>
      </c>
      <c r="AN114" s="177">
        <f t="shared" si="43"/>
        <v>0</v>
      </c>
      <c r="AO114" s="177">
        <f t="shared" si="44"/>
        <v>0</v>
      </c>
      <c r="AP114" s="177">
        <f t="shared" si="45"/>
        <v>0</v>
      </c>
      <c r="AQ114" s="177">
        <f t="shared" si="45"/>
        <v>0</v>
      </c>
      <c r="AR114" s="177">
        <f t="shared" si="45"/>
        <v>116</v>
      </c>
      <c r="AS114" s="245">
        <f t="shared" si="45"/>
        <v>0</v>
      </c>
      <c r="AT114" s="177">
        <f t="shared" si="45"/>
        <v>116</v>
      </c>
    </row>
    <row r="115" spans="2:48" ht="13.9" customHeight="1">
      <c r="B115" s="336" t="s">
        <v>2764</v>
      </c>
      <c r="C115" s="336"/>
      <c r="D115" s="336"/>
      <c r="E115" s="336"/>
      <c r="F115" s="336"/>
      <c r="G115" s="336"/>
      <c r="H115" s="336"/>
      <c r="I115" s="336"/>
      <c r="AI115" s="88"/>
      <c r="AL115" s="169" t="s">
        <v>2766</v>
      </c>
      <c r="AS115" s="7"/>
      <c r="AT115" s="1">
        <v>115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0.15517241379310345</v>
      </c>
      <c r="AQ118" s="135">
        <f>AR109/AR$114</f>
        <v>0.15517241379310345</v>
      </c>
      <c r="AR118" s="135">
        <f>AT109/AT$114</f>
        <v>0.15517241379310345</v>
      </c>
    </row>
    <row r="119" spans="2:48" ht="21" customHeight="1">
      <c r="B119" s="359" t="str">
        <f>"Table 7. "&amp;City_label&amp;" five year change in households by income and race, 2014 - 2019"</f>
        <v>Table 7. Almira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0.13793103448275862</v>
      </c>
      <c r="AQ119" s="135">
        <f>AR110/AR$114</f>
        <v>0.13793103448275862</v>
      </c>
      <c r="AR119" s="135">
        <f>AT110/AT$114</f>
        <v>0.13793103448275862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0.19827586206896552</v>
      </c>
      <c r="AQ120" s="135">
        <f>AR111/AR$114</f>
        <v>0.19827586206896552</v>
      </c>
      <c r="AR120" s="135">
        <f>AT111/AT$114</f>
        <v>0.19827586206896552</v>
      </c>
    </row>
    <row r="121" spans="2:48" ht="13.9" customHeight="1" thickBot="1">
      <c r="AA121" s="60" t="s">
        <v>1983</v>
      </c>
      <c r="AB121" s="86">
        <f>AE101</f>
        <v>0</v>
      </c>
      <c r="AC121" s="86">
        <f>SUM(AB101:AD101,AF101,AH101)</f>
        <v>0</v>
      </c>
      <c r="AD121" s="86">
        <f>AG101</f>
        <v>12</v>
      </c>
      <c r="AF121" s="135" t="e">
        <f>AB121/$AB$126</f>
        <v>#DIV/0!</v>
      </c>
      <c r="AG121" s="135" t="e">
        <f>AC121/$AC$126</f>
        <v>#DIV/0!</v>
      </c>
      <c r="AH121" s="135">
        <f>AD121/$AD$126</f>
        <v>0.11538461538461539</v>
      </c>
      <c r="AL121" s="60" t="s">
        <v>1979</v>
      </c>
      <c r="AM121" s="135" t="e">
        <f t="shared" si="49"/>
        <v>#DIV/0!</v>
      </c>
      <c r="AN121" s="135" t="e">
        <f t="shared" si="49"/>
        <v>#DIV/0!</v>
      </c>
      <c r="AO121" s="135" t="e">
        <f t="shared" si="49"/>
        <v>#DIV/0!</v>
      </c>
      <c r="AP121" s="135">
        <f>SUM(AP112:AQ112:AS112)/SUM(AP$114:AQ$114:AS$114)</f>
        <v>0.17241379310344829</v>
      </c>
      <c r="AQ121" s="135">
        <f>AR112/AR$114</f>
        <v>0.17241379310344829</v>
      </c>
      <c r="AR121" s="135">
        <f>AT112/AT$114</f>
        <v>0.17241379310344829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8</v>
      </c>
      <c r="AF122" s="135" t="e">
        <f>AB122/$AB$126</f>
        <v>#DIV/0!</v>
      </c>
      <c r="AG122" s="135" t="e">
        <f>AC122/$AC$126</f>
        <v>#DIV/0!</v>
      </c>
      <c r="AH122" s="135">
        <f>AD122/$AD$126</f>
        <v>7.6923076923076927E-2</v>
      </c>
      <c r="AL122" s="60" t="s">
        <v>1897</v>
      </c>
      <c r="AM122" s="284" t="e">
        <f t="shared" si="49"/>
        <v>#DIV/0!</v>
      </c>
      <c r="AN122" s="284" t="e">
        <f t="shared" si="49"/>
        <v>#DIV/0!</v>
      </c>
      <c r="AO122" s="284" t="e">
        <f t="shared" si="49"/>
        <v>#DIV/0!</v>
      </c>
      <c r="AP122" s="284">
        <f>SUM(AP113:AQ113:AS113)/SUM(AP$114:AQ$114:AS$114)</f>
        <v>0.33620689655172414</v>
      </c>
      <c r="AQ122" s="284">
        <f>AR113/AR$114</f>
        <v>0.33620689655172414</v>
      </c>
      <c r="AR122" s="284">
        <f>AT113/AT$114</f>
        <v>0.33620689655172414</v>
      </c>
      <c r="AV122" s="7"/>
    </row>
    <row r="123" spans="2:48" ht="19.5" customHeight="1">
      <c r="B123" s="357"/>
      <c r="C123" s="350"/>
      <c r="D123" s="350"/>
      <c r="E123" s="350"/>
      <c r="F123" s="350"/>
      <c r="G123" s="350"/>
      <c r="H123" s="350"/>
      <c r="AA123" s="60" t="s">
        <v>1978</v>
      </c>
      <c r="AB123" s="86">
        <f>AE103</f>
        <v>0</v>
      </c>
      <c r="AC123" s="86">
        <f t="shared" si="50"/>
        <v>0</v>
      </c>
      <c r="AD123" s="86">
        <f>AG103</f>
        <v>12</v>
      </c>
      <c r="AF123" s="135" t="e">
        <f>AB123/$AB$126</f>
        <v>#DIV/0!</v>
      </c>
      <c r="AG123" s="135" t="e">
        <f>AC123/$AC$126</f>
        <v>#DIV/0!</v>
      </c>
      <c r="AH123" s="135">
        <f>AD123/$AD$126</f>
        <v>0.11538461538461539</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18</v>
      </c>
      <c r="AF124" s="135" t="e">
        <f>AB124/$AB$126</f>
        <v>#DIV/0!</v>
      </c>
      <c r="AG124" s="135" t="e">
        <f>AC124/$AC$126</f>
        <v>#DIV/0!</v>
      </c>
      <c r="AH124" s="135">
        <f>AD124/$AD$126</f>
        <v>0.17307692307692307</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54</v>
      </c>
      <c r="AE125" s="288"/>
      <c r="AF125" s="284" t="e">
        <f>AB125/$AB$126</f>
        <v>#DIV/0!</v>
      </c>
      <c r="AG125" s="284" t="e">
        <f>AC125/$AC$126</f>
        <v>#DIV/0!</v>
      </c>
      <c r="AH125" s="284">
        <f>AD125/$AD$126</f>
        <v>0.51923076923076927</v>
      </c>
      <c r="AS125" s="88"/>
      <c r="AV125" s="7"/>
    </row>
    <row r="126" spans="2:48" ht="21" customHeight="1">
      <c r="B126" s="43">
        <v>2015</v>
      </c>
      <c r="C126" s="236">
        <f>AT109</f>
        <v>18</v>
      </c>
      <c r="D126" s="237">
        <f>AT110</f>
        <v>16</v>
      </c>
      <c r="E126" s="237">
        <f>AT111</f>
        <v>23</v>
      </c>
      <c r="F126" s="237">
        <f>AT112</f>
        <v>20</v>
      </c>
      <c r="G126" s="237">
        <f>AT113</f>
        <v>39</v>
      </c>
      <c r="H126" s="237">
        <f>AT114</f>
        <v>116</v>
      </c>
      <c r="AA126" s="85" t="s">
        <v>1</v>
      </c>
      <c r="AB126" s="128">
        <f>SUM(AB121:AB125)</f>
        <v>0</v>
      </c>
      <c r="AC126" s="128">
        <f>SUM(AC121:AC125)</f>
        <v>0</v>
      </c>
      <c r="AD126" s="128">
        <f>SUM(AD121:AD125)</f>
        <v>104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12</v>
      </c>
      <c r="D127" s="237">
        <f>AI102</f>
        <v>8</v>
      </c>
      <c r="E127" s="237">
        <f>AI103</f>
        <v>12</v>
      </c>
      <c r="F127" s="237">
        <f>AI104</f>
        <v>18</v>
      </c>
      <c r="G127" s="237">
        <f>AI105</f>
        <v>54</v>
      </c>
      <c r="H127" s="237">
        <f>AI106</f>
        <v>104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-4</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16</v>
      </c>
      <c r="E141" s="237">
        <f>AR111</f>
        <v>23</v>
      </c>
      <c r="F141" s="237">
        <f>AR112</f>
        <v>20</v>
      </c>
      <c r="G141" s="237">
        <f>AR113</f>
        <v>39</v>
      </c>
      <c r="H141" s="237">
        <f>AR114</f>
        <v>116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8</v>
      </c>
      <c r="E142" s="241">
        <f>AG103</f>
        <v>12</v>
      </c>
      <c r="F142" s="241">
        <f>AG104</f>
        <v>18</v>
      </c>
      <c r="G142" s="241">
        <f>AG105</f>
        <v>54</v>
      </c>
      <c r="H142" s="241">
        <f>AG106</f>
        <v>104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Almira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0.15517241379310345</v>
      </c>
      <c r="D152" s="267">
        <f t="shared" ref="D152:F153" si="53">IFERROR(D126/$H126,"0"%)</f>
        <v>0.13793103448275862</v>
      </c>
      <c r="E152" s="267">
        <f t="shared" si="53"/>
        <v>0.19827586206896552</v>
      </c>
      <c r="F152" s="267">
        <f t="shared" si="53"/>
        <v>0.17241379310344829</v>
      </c>
      <c r="G152" s="267">
        <f>G126/$H126</f>
        <v>0.33620689655172414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0.11538461538461539</v>
      </c>
      <c r="D153" s="267">
        <f t="shared" si="53"/>
        <v>7.6923076923076927E-2</v>
      </c>
      <c r="E153" s="267">
        <f t="shared" si="53"/>
        <v>0.11538461538461539</v>
      </c>
      <c r="F153" s="267">
        <f t="shared" si="53"/>
        <v>0.17307692307692307</v>
      </c>
      <c r="G153" s="267">
        <f>G127/$H127</f>
        <v>0.51923076923076927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0.15517241379310345</v>
      </c>
      <c r="D167" s="267">
        <f t="shared" si="58"/>
        <v>0.13793103448275862</v>
      </c>
      <c r="E167" s="267">
        <f t="shared" si="58"/>
        <v>0.19827586206896552</v>
      </c>
      <c r="F167" s="267">
        <f t="shared" si="58"/>
        <v>0.17241379310344829</v>
      </c>
      <c r="G167" s="267">
        <f t="shared" si="58"/>
        <v>0.33620689655172414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0.11538461538461539</v>
      </c>
      <c r="D168" s="267">
        <f t="shared" si="58"/>
        <v>7.6923076923076927E-2</v>
      </c>
      <c r="E168" s="267">
        <f t="shared" si="58"/>
        <v>0.11538461538461539</v>
      </c>
      <c r="F168" s="267">
        <f t="shared" si="58"/>
        <v>0.17307692307692307</v>
      </c>
      <c r="G168" s="267">
        <f t="shared" si="58"/>
        <v>0.51923076923076927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Almira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Almira count of owner and renter households by racial group, 2019</v>
      </c>
      <c r="C5" s="301"/>
      <c r="D5" s="301"/>
      <c r="E5" s="301"/>
      <c r="F5" s="301"/>
      <c r="G5" s="301"/>
      <c r="H5" s="301"/>
      <c r="I5" s="301"/>
      <c r="J5" s="301"/>
      <c r="K5" s="301"/>
      <c r="X5" s="16" t="s">
        <v>2702</v>
      </c>
      <c r="Y5" s="304" t="str">
        <f>City</f>
        <v>Almira town,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Almira</v>
      </c>
      <c r="F8" s="257"/>
      <c r="G8" s="256"/>
      <c r="H8" s="65" t="str">
        <f>City_label</f>
        <v>Almira</v>
      </c>
      <c r="I8" s="257"/>
      <c r="J8" s="65" t="str">
        <f>County_label</f>
        <v>Lincoln County</v>
      </c>
      <c r="K8" s="257"/>
      <c r="X8" s="62" t="str">
        <f>City</f>
        <v>Almira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v>
      </c>
      <c r="K14" s="254">
        <f>AB77/AB51</f>
        <v>0.5</v>
      </c>
      <c r="X14" s="33" t="s">
        <v>2852</v>
      </c>
      <c r="Y14" s="37">
        <f t="shared" ref="Y14:AE14" si="2">SUM(Y29,Y40)</f>
        <v>0</v>
      </c>
      <c r="Z14" s="37">
        <f t="shared" si="2"/>
        <v>4</v>
      </c>
      <c r="AA14" s="37">
        <f t="shared" si="2"/>
        <v>0</v>
      </c>
      <c r="AB14" s="37">
        <f t="shared" si="2"/>
        <v>0</v>
      </c>
      <c r="AC14" s="37">
        <f t="shared" si="2"/>
        <v>0</v>
      </c>
      <c r="AD14" s="37">
        <f t="shared" si="2"/>
        <v>0</v>
      </c>
      <c r="AE14" s="37">
        <f t="shared" si="2"/>
        <v>100</v>
      </c>
      <c r="AF14" s="2">
        <v>105</v>
      </c>
      <c r="AG14" s="5"/>
      <c r="AH14" t="s">
        <v>5</v>
      </c>
      <c r="AI14" s="5">
        <f>AI25</f>
        <v>4</v>
      </c>
      <c r="AJ14" s="5">
        <f t="shared" ref="AJ14:AO14" si="3">AJ25</f>
        <v>0</v>
      </c>
      <c r="AK14" s="5">
        <f t="shared" si="3"/>
        <v>0</v>
      </c>
      <c r="AL14" s="5">
        <f t="shared" si="3"/>
        <v>0</v>
      </c>
      <c r="AM14" s="5">
        <f t="shared" si="3"/>
        <v>4</v>
      </c>
      <c r="AN14" s="5">
        <f t="shared" si="3"/>
        <v>75</v>
      </c>
      <c r="AO14" s="5">
        <f t="shared" si="3"/>
        <v>80</v>
      </c>
      <c r="AP14" s="37"/>
      <c r="AQ14" s="37"/>
      <c r="AR14" s="5"/>
    </row>
    <row r="15" spans="2:57">
      <c r="B15" s="29" t="s">
        <v>2706</v>
      </c>
      <c r="C15" s="29"/>
      <c r="E15" s="253">
        <f>AC29</f>
        <v>0</v>
      </c>
      <c r="F15" s="253">
        <f>AC40</f>
        <v>0</v>
      </c>
      <c r="G15" s="29"/>
      <c r="H15" s="254" t="str">
        <f t="shared" si="1"/>
        <v>0%</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25</v>
      </c>
      <c r="AO15" s="5">
        <f t="shared" si="4"/>
        <v>25</v>
      </c>
      <c r="AP15" s="5"/>
    </row>
    <row r="16" spans="2:57">
      <c r="B16" s="29" t="s">
        <v>2721</v>
      </c>
      <c r="C16" s="29"/>
      <c r="E16" s="253">
        <f>AD29</f>
        <v>0</v>
      </c>
      <c r="F16" s="253">
        <f>AD40</f>
        <v>0</v>
      </c>
      <c r="G16" s="29"/>
      <c r="H16" s="254" t="str">
        <f t="shared" si="1"/>
        <v>0%</v>
      </c>
      <c r="I16" s="254" t="str">
        <f t="shared" si="0"/>
        <v>0%</v>
      </c>
      <c r="J16" s="254">
        <f>AD66/AD51</f>
        <v>0.78947368421052633</v>
      </c>
      <c r="K16" s="254">
        <f>AD77/AD51</f>
        <v>0.21052631578947367</v>
      </c>
      <c r="X16" s="33"/>
      <c r="Y16" s="5"/>
      <c r="Z16" s="5"/>
      <c r="AA16" s="5"/>
      <c r="AB16" s="5"/>
      <c r="AC16" s="5"/>
      <c r="AD16" s="5"/>
      <c r="AE16" s="251" t="s">
        <v>2854</v>
      </c>
      <c r="AF16" s="5">
        <f>SUM(Y14:AE14)</f>
        <v>104</v>
      </c>
      <c r="AG16" s="5"/>
      <c r="AH16" s="34" t="s">
        <v>1</v>
      </c>
      <c r="AI16" s="34">
        <f>Z14</f>
        <v>4</v>
      </c>
      <c r="AJ16" s="34">
        <f>AA14</f>
        <v>0</v>
      </c>
      <c r="AK16" s="37">
        <f>AB14</f>
        <v>0</v>
      </c>
      <c r="AL16" s="37">
        <f>SUM(Y14, AC14:AD14)</f>
        <v>0</v>
      </c>
      <c r="AM16" s="37">
        <f>SUM(Y14:AA14,AC14:AD14)</f>
        <v>4</v>
      </c>
      <c r="AN16" s="37">
        <f>AE14</f>
        <v>100</v>
      </c>
      <c r="AO16" s="37">
        <f>AF14</f>
        <v>105</v>
      </c>
      <c r="AP16" s="5"/>
    </row>
    <row r="17" spans="2:42">
      <c r="B17" s="29" t="s">
        <v>2672</v>
      </c>
      <c r="C17" s="29"/>
      <c r="E17" s="281">
        <f>AE29</f>
        <v>75</v>
      </c>
      <c r="F17" s="281">
        <f>AE40</f>
        <v>25</v>
      </c>
      <c r="G17" s="70"/>
      <c r="H17" s="282">
        <f t="shared" si="1"/>
        <v>0.75</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80</v>
      </c>
      <c r="F18" s="258">
        <f>AF40</f>
        <v>25</v>
      </c>
      <c r="G18" s="247"/>
      <c r="H18" s="259">
        <f t="shared" si="1"/>
        <v>0.76190476190476186</v>
      </c>
      <c r="I18" s="259">
        <f t="shared" si="0"/>
        <v>1</v>
      </c>
      <c r="J18" s="259">
        <f>AF66/AF51</f>
        <v>0.78011049723756909</v>
      </c>
      <c r="K18" s="259">
        <f>AF77/AF51</f>
        <v>0.21988950276243094</v>
      </c>
      <c r="AE18" s="59" t="s">
        <v>2852</v>
      </c>
      <c r="AF18" s="112" t="s">
        <v>2235</v>
      </c>
      <c r="AG18" s="5"/>
      <c r="AH18" t="s">
        <v>5</v>
      </c>
      <c r="AI18" s="6">
        <f>AI14/AI$16</f>
        <v>1</v>
      </c>
      <c r="AJ18" s="6" t="e">
        <f t="shared" ref="AJ18:AO18" si="5">AJ14/AJ$16</f>
        <v>#DIV/0!</v>
      </c>
      <c r="AK18" s="6" t="e">
        <f t="shared" si="5"/>
        <v>#DIV/0!</v>
      </c>
      <c r="AL18" s="6" t="e">
        <f t="shared" si="5"/>
        <v>#DIV/0!</v>
      </c>
      <c r="AM18" s="6">
        <f t="shared" si="5"/>
        <v>1</v>
      </c>
      <c r="AN18" s="6">
        <f t="shared" si="5"/>
        <v>0.75</v>
      </c>
      <c r="AO18" s="6">
        <f t="shared" si="5"/>
        <v>0.76190476190476186</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t="e">
        <f t="shared" si="6"/>
        <v>#DIV/0!</v>
      </c>
      <c r="AL19" s="6" t="e">
        <f t="shared" si="6"/>
        <v>#DIV/0!</v>
      </c>
      <c r="AM19" s="6">
        <f t="shared" si="6"/>
        <v>0</v>
      </c>
      <c r="AN19" s="6">
        <f t="shared" si="6"/>
        <v>0.25</v>
      </c>
      <c r="AO19" s="6">
        <f t="shared" si="6"/>
        <v>0.23809523809523808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t="e">
        <f t="shared" si="7"/>
        <v>#DIV/0!</v>
      </c>
      <c r="AL20" s="6" t="e">
        <f t="shared" si="7"/>
        <v>#DIV/0!</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Almira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0</v>
      </c>
      <c r="AM25" s="37">
        <f>SUM(Y29:AA29,AC29:AD29)</f>
        <v>4</v>
      </c>
      <c r="AN25" s="37">
        <f>AE29</f>
        <v>75</v>
      </c>
      <c r="AO25" s="37">
        <f>AF29</f>
        <v>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0</v>
      </c>
      <c r="AC29" s="2">
        <v>0</v>
      </c>
      <c r="AD29" s="2">
        <v>0</v>
      </c>
      <c r="AE29" s="2">
        <v>75</v>
      </c>
      <c r="AF29" s="2">
        <v>80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25</v>
      </c>
      <c r="AO36" s="37">
        <f>AF40</f>
        <v>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25</v>
      </c>
      <c r="AF40" s="2">
        <v>25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Almira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Almira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Almira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08070d79-41db-40ac-93d9-3fd8f1a76dba"/>
    <ds:schemaRef ds:uri="http://schemas.microsoft.com/office/infopath/2007/PartnerControls"/>
    <ds:schemaRef ds:uri="http://schemas.openxmlformats.org/package/2006/metadata/core-properties"/>
    <ds:schemaRef ds:uri="8556b74b-f608-4f00-b474-15eeb07aa725"/>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2024-12-17T19:36:02Z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