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E104" i="297" l="1"/>
  <c r="AB124" i="297" s="1"/>
  <c r="AI101" i="297"/>
  <c r="C127" i="297" s="1"/>
  <c r="AF104" i="297"/>
  <c r="G17" i="297" s="1"/>
  <c r="AE35" i="284"/>
  <c r="AI35" i="284" s="1"/>
  <c r="AM109" i="297"/>
  <c r="C129" i="297" s="1"/>
  <c r="G18" i="283"/>
  <c r="AT113" i="297"/>
  <c r="G126" i="297" s="1"/>
  <c r="AO112" i="297"/>
  <c r="F135" i="297" s="1"/>
  <c r="AQ110" i="297"/>
  <c r="AE102" i="297"/>
  <c r="AB122" i="297" s="1"/>
  <c r="AD103" i="297"/>
  <c r="E133" i="297" s="1"/>
  <c r="AC104" i="297"/>
  <c r="D17" i="297" s="1"/>
  <c r="AN112" i="297"/>
  <c r="F132" i="297" s="1"/>
  <c r="AP113" i="297"/>
  <c r="M11" i="282"/>
  <c r="AR111" i="297"/>
  <c r="E141" i="297" s="1"/>
  <c r="AD104" i="297"/>
  <c r="E17" i="297" s="1"/>
  <c r="L18" i="283"/>
  <c r="AF102" i="297"/>
  <c r="G15" i="297" s="1"/>
  <c r="AN109" i="297"/>
  <c r="C132" i="297" s="1"/>
  <c r="AN113" i="297"/>
  <c r="G132" i="297" s="1"/>
  <c r="M16" i="282"/>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F136" i="297"/>
  <c r="F17" i="297"/>
  <c r="AG40" i="283"/>
  <c r="G23" i="283"/>
  <c r="AH40" i="283"/>
  <c r="AJ16" i="283"/>
  <c r="AG16" i="283"/>
  <c r="F133" i="297" l="1"/>
  <c r="E16" i="297"/>
  <c r="AE106" i="297"/>
  <c r="AD113" i="297" s="1"/>
  <c r="F130" i="297"/>
  <c r="F16" i="297"/>
  <c r="F15" i="297"/>
  <c r="D136" i="297"/>
  <c r="D18" i="297"/>
  <c r="E136" i="297"/>
  <c r="AF65" i="283"/>
  <c r="I194" i="283" s="1"/>
  <c r="AH16" i="283"/>
  <c r="AK16" i="283" s="1"/>
  <c r="AG49" i="283"/>
  <c r="J185" i="283" s="1"/>
  <c r="I18" i="282"/>
  <c r="Z15" i="283"/>
  <c r="AM28" i="282"/>
  <c r="H81" i="282" s="1"/>
  <c r="H15" i="297"/>
  <c r="E15" i="297"/>
  <c r="AF106" i="297"/>
  <c r="AE111" i="297" s="1"/>
  <c r="H14" i="297"/>
  <c r="H22" i="297" s="1"/>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AF50" i="283"/>
  <c r="I181" i="283" s="1"/>
  <c r="AF49" i="283"/>
  <c r="I185" i="283" s="1"/>
  <c r="AF52" i="283"/>
  <c r="I184" i="283" s="1"/>
  <c r="AF51" i="283"/>
  <c r="AF47" i="283" s="1"/>
  <c r="AF48" i="283" s="1"/>
  <c r="J183" i="283"/>
  <c r="G83" i="282"/>
  <c r="I83" i="282"/>
  <c r="AH82" i="284"/>
  <c r="AE81" i="284"/>
  <c r="AI81" i="284" s="1"/>
  <c r="E22" i="297"/>
  <c r="AD111" i="297" l="1"/>
  <c r="AD112" i="297"/>
  <c r="AD110" i="297"/>
  <c r="AD114" i="297"/>
  <c r="H136" i="297"/>
  <c r="E162" i="297" s="1"/>
  <c r="AH72" i="283"/>
  <c r="AC113" i="297"/>
  <c r="AF66" i="283"/>
  <c r="AM118" i="297"/>
  <c r="AE110" i="297"/>
  <c r="H132" i="297"/>
  <c r="E158" i="297" s="1"/>
  <c r="AI29" i="282"/>
  <c r="AC114" i="297"/>
  <c r="AJ52" i="283"/>
  <c r="F184" i="283" s="1"/>
  <c r="H129" i="297"/>
  <c r="C155" i="297" s="1"/>
  <c r="AC110" i="297"/>
  <c r="AM120" i="297"/>
  <c r="AB113" i="297"/>
  <c r="G26" i="297"/>
  <c r="H141" i="297"/>
  <c r="D167" i="297" s="1"/>
  <c r="AJ51" i="283"/>
  <c r="F183" i="283" s="1"/>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D156" i="297"/>
  <c r="F156" i="297"/>
  <c r="E156" i="297"/>
  <c r="G156" i="297"/>
  <c r="C156" i="297"/>
  <c r="AE48" i="283"/>
  <c r="H183" i="283"/>
  <c r="H184" i="283"/>
  <c r="AF54" i="283"/>
  <c r="AH78" i="284"/>
  <c r="AH79" i="284"/>
  <c r="AH80" i="284"/>
  <c r="I182" i="283"/>
  <c r="G155" i="297" l="1"/>
  <c r="C158" i="297"/>
  <c r="G158" i="297"/>
  <c r="F155" i="297"/>
  <c r="D158" i="297"/>
  <c r="D155" i="297"/>
  <c r="C162" i="297"/>
  <c r="D162" i="297"/>
  <c r="G162" i="297"/>
  <c r="F162" i="297"/>
  <c r="F158" i="297"/>
  <c r="E155" i="297"/>
  <c r="D168" i="297"/>
  <c r="AM123" i="297"/>
  <c r="AG54" i="283"/>
  <c r="C167" i="297"/>
  <c r="F167" i="297"/>
  <c r="AJ47" i="283"/>
  <c r="AJ48" i="283" s="1"/>
  <c r="E159" i="297"/>
  <c r="G167" i="297"/>
  <c r="F168" i="297"/>
  <c r="E167" i="297"/>
  <c r="J182" i="283"/>
  <c r="AH47" i="283"/>
  <c r="AH48" i="283" s="1"/>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H182" i="283"/>
  <c r="AE54" i="283"/>
  <c r="AJ54" i="283" l="1"/>
  <c r="F182" i="283"/>
  <c r="AH54" i="283"/>
  <c r="K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<sst xmlns="http://schemas.openxmlformats.org/spreadsheetml/2006/main" count="5379" uniqueCount="2858">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</sst>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EF58091-CACC-4367-BCA4-7F6F9FD526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028876B-61A8-47CF-BE0B-0ADDC7B2DB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6950FD7-F659-460B-86B5-D20FFD09E4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4F81AAA-FA4E-4F46-8A3F-B51927BC52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71F42D6-D7AD-44B6-9014-16272D64E4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7</c:v>
                </c:pt>
                <c:pt idx="3">
                  <c:v>4</c:v>
                </c:pt>
                <c:pt idx="4">
                  <c:v>131</c:v>
                </c:pt>
              </c:numCache>
            </c:numRef>
          </c:val>
          <c:extLst>
            <c:ext xmlns:c15="http://schemas.microsoft.com/office/drawing/2012/chart" uri="{02D57815-91ED-43cb-92C2-25804820EDAC}">
              <c15:datalabelsRange>
                <c15:f>'Racial Composition'!$AI$26:$AI$30</c15:f>
                <c15:dlblRangeCache>
                  <c:ptCount val="5"/>
                  <c:pt idx="0">
                    <c:v>0
(0%)</c:v>
                  </c:pt>
                  <c:pt idx="1">
                    <c:v>0
(0%)</c:v>
                  </c:pt>
                  <c:pt idx="2">
                    <c:v>7
(5%)</c:v>
                  </c:pt>
                  <c:pt idx="3">
                    <c:v>4
(3%)</c:v>
                  </c:pt>
                  <c:pt idx="4">
                    <c:v>131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Farmington</c:v>
                </c:pt>
                <c:pt idx="1">
                  <c:v>Whitman County</c:v>
                </c:pt>
              </c:strCache>
            </c:strRef>
          </c:cat>
          <c:val>
            <c:numRef>
              <c:f>('Racial Composition'!$AH$30,'Racial Composition'!$AN$30)</c:f>
              <c:numCache>
                <c:formatCode>0%</c:formatCode>
                <c:ptCount val="2"/>
                <c:pt idx="0">
                  <c:v>0.92253521126760563</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Farmington</c:v>
                </c:pt>
                <c:pt idx="1">
                  <c:v>Whitman County</c:v>
                </c:pt>
              </c:strCache>
            </c:strRef>
          </c:cat>
          <c:val>
            <c:numRef>
              <c:f>('Racial Composition'!$AH$29,'Racial Composition'!$AN$29)</c:f>
              <c:numCache>
                <c:formatCode>0%</c:formatCode>
                <c:ptCount val="2"/>
                <c:pt idx="0">
                  <c:v>2.8169014084507043E-2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Farmington</c:v>
                </c:pt>
                <c:pt idx="1">
                  <c:v>Whitman County</c:v>
                </c:pt>
              </c:strCache>
            </c:strRef>
          </c:cat>
          <c:val>
            <c:numRef>
              <c:f>('Racial Composition'!$AH$28,'Racial Composition'!$AN$28)</c:f>
              <c:numCache>
                <c:formatCode>0%</c:formatCode>
                <c:ptCount val="2"/>
                <c:pt idx="0">
                  <c:v>4.9295774647887321E-2</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Farmington</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Farmington</c:v>
                </c:pt>
                <c:pt idx="1">
                  <c:v>Whitman County</c:v>
                </c:pt>
              </c:strCache>
            </c:strRef>
          </c:cat>
          <c:val>
            <c:numRef>
              <c:f>('Racial Composition'!$AH$26,'Racial Composition'!$AN$26)</c:f>
              <c:numCache>
                <c:formatCode>0%</c:formatCode>
                <c:ptCount val="2"/>
                <c:pt idx="0">
                  <c:v>0</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Farmington</c:v>
                  </c:pt>
                  <c:pt idx="2">
                    <c:v>Whitman County</c:v>
                  </c:pt>
                </c:lvl>
              </c:multiLvlStrCache>
            </c:multiLvlStrRef>
          </c:cat>
          <c:val>
            <c:numRef>
              <c:f>('Racial Composition'!$AG$39:$AH$39,'Racial Composition'!$AM$39:$AN$39)</c:f>
              <c:numCache>
                <c:formatCode>0%</c:formatCode>
                <c:ptCount val="4"/>
                <c:pt idx="0">
                  <c:v>0.89423076923076927</c:v>
                </c:pt>
                <c:pt idx="1">
                  <c:v>0.92253521126760563</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Farmington</c:v>
                  </c:pt>
                  <c:pt idx="2">
                    <c:v>Whitman County</c:v>
                  </c:pt>
                </c:lvl>
              </c:multiLvlStrCache>
            </c:multiLvlStrRef>
          </c:cat>
          <c:val>
            <c:numRef>
              <c:f>('Racial Composition'!$AG$38:$AH$38,'Racial Composition'!$AM$38:$AN$38)</c:f>
              <c:numCache>
                <c:formatCode>0%</c:formatCode>
                <c:ptCount val="4"/>
                <c:pt idx="0">
                  <c:v>2.8846153846153848E-2</c:v>
                </c:pt>
                <c:pt idx="1">
                  <c:v>2.8169014084507043E-2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Farmington</c:v>
                  </c:pt>
                  <c:pt idx="2">
                    <c:v>Whitman County</c:v>
                  </c:pt>
                </c:lvl>
              </c:multiLvlStrCache>
            </c:multiLvlStrRef>
          </c:cat>
          <c:val>
            <c:numRef>
              <c:f>('Racial Composition'!$AG$37:$AH$37,'Racial Composition'!$AM$37:$AN$37)</c:f>
              <c:numCache>
                <c:formatCode>0%</c:formatCode>
                <c:ptCount val="4"/>
                <c:pt idx="0">
                  <c:v>7.6923076923076927E-2</c:v>
                </c:pt>
                <c:pt idx="1">
                  <c:v>4.9295774647887321E-2</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3173E42-1128-4CCC-8334-52C1122E0A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922B894-7229-47D6-9C81-AE03B144C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E63E773-6796-41D6-91AD-2757F7BB13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c:v>
                </c:pt>
                <c:pt idx="1">
                  <c:v>4</c:v>
                </c:pt>
                <c:pt idx="2">
                  <c:v>131</c:v>
                </c:pt>
              </c:numCache>
            </c:numRef>
          </c:val>
          <c:extLst>
            <c:ext xmlns:c15="http://schemas.microsoft.com/office/drawing/2012/chart" uri="{02D57815-91ED-43cb-92C2-25804820EDAC}">
              <c15:datalabelsRange>
                <c15:f>'Racial Composition'!$AI$37:$AI$39</c15:f>
                <c15:dlblRangeCache>
                  <c:ptCount val="3"/>
                  <c:pt idx="0">
                    <c:v>7
(5%)</c:v>
                  </c:pt>
                  <c:pt idx="1">
                    <c:v>4
(3%)</c:v>
                  </c:pt>
                  <c:pt idx="2">
                    <c:v>131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Farmington</c:v>
                </c:pt>
                <c:pt idx="1">
                  <c:v>Whitman County</c:v>
                </c:pt>
              </c:strCache>
            </c:strRef>
          </c:cat>
          <c:val>
            <c:numRef>
              <c:f>('Racial Composition'!$AH$39,'Racial Composition'!$AN$39)</c:f>
              <c:numCache>
                <c:formatCode>0%</c:formatCode>
                <c:ptCount val="2"/>
                <c:pt idx="0">
                  <c:v>0.92253521126760563</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Farmington</c:v>
                </c:pt>
                <c:pt idx="1">
                  <c:v>Whitman County</c:v>
                </c:pt>
              </c:strCache>
            </c:strRef>
          </c:cat>
          <c:val>
            <c:numRef>
              <c:f>('Racial Composition'!$AH$38,'Racial Composition'!$AN$38)</c:f>
              <c:numCache>
                <c:formatCode>0%</c:formatCode>
                <c:ptCount val="2"/>
                <c:pt idx="0">
                  <c:v>2.8169014084507043E-2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Farmington</c:v>
                </c:pt>
                <c:pt idx="1">
                  <c:v>Whitman County</c:v>
                </c:pt>
              </c:strCache>
            </c:strRef>
          </c:cat>
          <c:val>
            <c:numRef>
              <c:f>('Racial Composition'!$AH$37,'Racial Composition'!$AN$37)</c:f>
              <c:numCache>
                <c:formatCode>0%</c:formatCode>
                <c:ptCount val="2"/>
                <c:pt idx="0">
                  <c:v>4.9295774647887321E-2</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6.8965517241379309E-2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6.8965517241379309E-2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0.86206896551724133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50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6.8965517241379309E-2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6.8965517241379309E-2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0.86206896551724133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6.8965517241379309E-2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6.8965517241379309E-2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0.86206896551724133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6.8965517241379309E-2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6.8965517241379309E-2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0.86206896551724133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c:v>
                </c:pt>
                <c:pt idx="1">
                  <c:v>0.55555555555555558</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0.22222222222222221</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c:v>
                </c:pt>
                <c:pt idx="1">
                  <c:v>0.22222222222222221</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0.8</c:v>
                </c:pt>
                <c:pt idx="1">
                  <c:v>0</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c:v>
                </c:pt>
                <c:pt idx="1">
                  <c:v>0</c:v>
                </c:pt>
                <c:pt idx="2">
                  <c:v>0</c:v>
                </c:pt>
                <c:pt idx="3">
                  <c:v>2</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c:v>
                </c:pt>
                <c:pt idx="1">
                  <c:v>-4</c:v>
                </c:pt>
                <c:pt idx="2">
                  <c:v>4</c:v>
                </c:pt>
                <c:pt idx="3">
                  <c:v>18</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71C90C6-BFE4-4FF7-9187-8C73C5E065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95E18BC-770E-4E1D-BB73-8A9127D827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304438F-D67F-458A-8219-7553F3EBD8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2A043DE-2419-4C9E-BC53-98C7E3BBA9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6.8</c:v>
                </c:pt>
                <c:pt idx="1">
                  <c:v>0.8</c:v>
                </c:pt>
                <c:pt idx="2">
                  <c:v>4.8</c:v>
                </c:pt>
                <c:pt idx="3">
                  <c:v>18.8</c:v>
                </c:pt>
              </c:numCache>
            </c:numRef>
          </c:val>
          <c:smooth val="0"/>
          <c:extLst>
            <c:ext xmlns:c15="http://schemas.microsoft.com/office/drawing/2012/chart" uri="{02D57815-91ED-43cb-92C2-25804820EDAC}">
              <c15:datalabelsRange>
                <c15:f>'Rental Affordability'!$AI$78:$AI$81</c15:f>
                <c15:dlblRangeCache>
                  <c:ptCount val="4"/>
                  <c:pt idx="0">
                    <c:v>Difference:
+2 units</c:v>
                  </c:pt>
                  <c:pt idx="1">
                    <c:v>Difference:
-4 units</c:v>
                  </c:pt>
                  <c:pt idx="2">
                    <c:v>Difference:
+4 units</c:v>
                  </c:pt>
                  <c:pt idx="3">
                    <c:v>Difference:
+16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0</c:v>
                </c:pt>
                <c:pt idx="2">
                  <c:v>4</c:v>
                </c:pt>
                <c:pt idx="3">
                  <c:v>8</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c:v>
                </c:pt>
                <c:pt idx="1">
                  <c:v>4</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14DB4C6-2F4B-4AB8-80E1-C2D3060395F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BC8DE10B-9FAE-4B99-A95F-32327546BF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9904B6E-B8E2-4ECC-A501-E0EFD58BD58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D9B07B1-A616-4F2C-9BC8-7CA47549AF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10.4</c:v>
                </c:pt>
                <c:pt idx="1">
                  <c:v>4.4000000000000004</c:v>
                </c:pt>
                <c:pt idx="2">
                  <c:v>4.4000000000000004</c:v>
                </c:pt>
                <c:pt idx="3">
                  <c:v>8.4</c:v>
                </c:pt>
              </c:numCache>
            </c:numRef>
          </c:val>
          <c:smooth val="0"/>
          <c:extLst>
            <c:ext xmlns:c15="http://schemas.microsoft.com/office/drawing/2012/chart" uri="{02D57815-91ED-43cb-92C2-25804820EDAC}">
              <c15:datalabelsRange>
                <c15:f>'Rental Affordability'!$AI$35:$AI$38</c15:f>
                <c15:dlblRangeCache>
                  <c:ptCount val="4"/>
                  <c:pt idx="0">
                    <c:v>Surplus: 
+6 units</c:v>
                  </c:pt>
                  <c:pt idx="1">
                    <c:v>Surplus: 
+4 units</c:v>
                  </c:pt>
                  <c:pt idx="2">
                    <c:v>
0 units</c:v>
                  </c:pt>
                  <c:pt idx="3">
                    <c:v>Shortfall:
-8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0.18461538461538463</c:v>
                </c:pt>
                <c:pt idx="5">
                  <c:v>0.18461538461538463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6.1538461538461542E-2</c:v>
                </c:pt>
                <c:pt idx="5">
                  <c:v>6.1538461538461542E-2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0.12307692307692308</c:v>
                </c:pt>
                <c:pt idx="5">
                  <c:v>0.12307692307692308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0.18461538461538463</c:v>
                </c:pt>
                <c:pt idx="5">
                  <c:v>0.18461538461538463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0.44615384615384618</c:v>
                </c:pt>
                <c:pt idx="5">
                  <c:v>0.44615384615384618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29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0.18461538461538463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6.1538461538461542E-2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0.12307692307692308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0.18461538461538463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0.44615384615384618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12</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12</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29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0.14035087719298245</c:v>
                </c:pt>
                <c:pt idx="2">
                  <c:v>0.18461538461538463</c:v>
                </c:pt>
                <c:pt idx="4">
                  <c:v>0</c:v>
                </c:pt>
                <c:pt idx="5">
                  <c:v>0</c:v>
                </c:pt>
                <c:pt idx="7">
                  <c:v>0</c:v>
                </c:pt>
                <c:pt idx="8">
                  <c:v>0</c:v>
                </c:pt>
                <c:pt idx="10">
                  <c:v>0</c:v>
                </c:pt>
                <c:pt idx="11">
                  <c:v>0</c:v>
                </c:pt>
                <c:pt idx="13">
                  <c:v>0</c:v>
                </c:pt>
                <c:pt idx="14">
                  <c:v>0</c:v>
                </c:pt>
                <c:pt idx="16">
                  <c:v>0.14035087719298245</c:v>
                </c:pt>
                <c:pt idx="17">
                  <c:v>0.18461538461538463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7.0175438596491224E-2</c:v>
                </c:pt>
                <c:pt idx="2">
                  <c:v>6.1538461538461542E-2</c:v>
                </c:pt>
                <c:pt idx="4">
                  <c:v>0</c:v>
                </c:pt>
                <c:pt idx="5">
                  <c:v>0</c:v>
                </c:pt>
                <c:pt idx="7">
                  <c:v>0</c:v>
                </c:pt>
                <c:pt idx="8">
                  <c:v>0</c:v>
                </c:pt>
                <c:pt idx="10">
                  <c:v>0</c:v>
                </c:pt>
                <c:pt idx="11">
                  <c:v>0</c:v>
                </c:pt>
                <c:pt idx="13">
                  <c:v>0</c:v>
                </c:pt>
                <c:pt idx="14">
                  <c:v>0</c:v>
                </c:pt>
                <c:pt idx="16">
                  <c:v>7.0175438596491224E-2</c:v>
                </c:pt>
                <c:pt idx="17">
                  <c:v>6.1538461538461542E-2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0.24561403508771928</c:v>
                </c:pt>
                <c:pt idx="2">
                  <c:v>0.12307692307692308</c:v>
                </c:pt>
                <c:pt idx="4">
                  <c:v>0</c:v>
                </c:pt>
                <c:pt idx="5">
                  <c:v>0</c:v>
                </c:pt>
                <c:pt idx="7">
                  <c:v>0</c:v>
                </c:pt>
                <c:pt idx="8">
                  <c:v>0</c:v>
                </c:pt>
                <c:pt idx="10">
                  <c:v>0</c:v>
                </c:pt>
                <c:pt idx="11">
                  <c:v>0</c:v>
                </c:pt>
                <c:pt idx="13">
                  <c:v>0</c:v>
                </c:pt>
                <c:pt idx="14">
                  <c:v>0</c:v>
                </c:pt>
                <c:pt idx="16">
                  <c:v>0.24561403508771928</c:v>
                </c:pt>
                <c:pt idx="17">
                  <c:v>0.12307692307692308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0.14035087719298245</c:v>
                </c:pt>
                <c:pt idx="2">
                  <c:v>0.18461538461538463</c:v>
                </c:pt>
                <c:pt idx="4">
                  <c:v>0</c:v>
                </c:pt>
                <c:pt idx="5">
                  <c:v>0</c:v>
                </c:pt>
                <c:pt idx="7">
                  <c:v>0</c:v>
                </c:pt>
                <c:pt idx="8">
                  <c:v>0</c:v>
                </c:pt>
                <c:pt idx="10">
                  <c:v>0</c:v>
                </c:pt>
                <c:pt idx="11">
                  <c:v>0</c:v>
                </c:pt>
                <c:pt idx="13">
                  <c:v>0</c:v>
                </c:pt>
                <c:pt idx="14">
                  <c:v>0</c:v>
                </c:pt>
                <c:pt idx="16">
                  <c:v>0.14035087719298245</c:v>
                </c:pt>
                <c:pt idx="17">
                  <c:v>0.18461538461538463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0.40350877192982454</c:v>
                </c:pt>
                <c:pt idx="2">
                  <c:v>0.44615384615384618</c:v>
                </c:pt>
                <c:pt idx="4">
                  <c:v>0</c:v>
                </c:pt>
                <c:pt idx="5">
                  <c:v>0</c:v>
                </c:pt>
                <c:pt idx="7">
                  <c:v>0</c:v>
                </c:pt>
                <c:pt idx="8">
                  <c:v>0</c:v>
                </c:pt>
                <c:pt idx="10">
                  <c:v>0</c:v>
                </c:pt>
                <c:pt idx="11">
                  <c:v>0</c:v>
                </c:pt>
                <c:pt idx="13">
                  <c:v>1</c:v>
                </c:pt>
                <c:pt idx="14">
                  <c:v>0</c:v>
                </c:pt>
                <c:pt idx="16">
                  <c:v>0.40350877192982454</c:v>
                </c:pt>
                <c:pt idx="17">
                  <c:v>0.44615384615384618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0.81818181818181823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0.18181818181818182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0.81818181818181823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0.18181818181818182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Farmington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4" sqref="C4"/>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385</v>
      </c>
    </row>
    <row r="7" spans="2:10" ht="20">
      <c r="B7" s="9"/>
      <c r="C7" s="48" t="s">
        <v>1973</v>
      </c>
    </row>
    <row r="8" spans="2:10" ht="20">
      <c r="B8" s="8" t="s">
        <v>2678</v>
      </c>
      <c r="C8" s="45" t="str">
        <f>IFERROR(INDEX(GEOID[GEO_ID],MATCH(City,GEOID[NAME],0)),"(not found)")</f>
        <v>1600000US5323340</v>
      </c>
    </row>
    <row r="9" spans="2:10" ht="20">
      <c r="B9" s="8"/>
      <c r="C9" s="45" t="str">
        <f>IFERROR(INDEX(GEOID[GEO_ID],MATCH(County,GEOID[NAME],0)),"(not found)")</f>
        <v>0500000US53075</v>
      </c>
    </row>
    <row r="11" spans="2:10" ht="20">
      <c r="B11" s="8" t="s">
        <v>2677</v>
      </c>
      <c r="C11" s="49" t="str">
        <f>IFERROR(INDEX(WA_CDPs[GEO_ID_CHAS],MATCH(City,WA_CDPs[NAME],0)),"(not found)")</f>
        <v>16000US5323340</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Farmington</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Farmington and Whitman County, 2015 and 2020</v>
      </c>
      <c r="E76" s="7" t="s">
        <v>2697</v>
      </c>
      <c r="H76" s="42" t="s">
        <v>2407</v>
      </c>
    </row>
    <row r="77" spans="2:10">
      <c r="B77" s="7" t="str">
        <f>'Racial Composition'!C74</f>
        <v>Table 2. Racial composition percentage of Farmington and Whitman County 2015 and 2020</v>
      </c>
      <c r="E77" s="7" t="s">
        <v>2697</v>
      </c>
    </row>
    <row r="78" spans="2:10">
      <c r="B78" s="7" t="str">
        <f>'Cost Burden'!C4</f>
        <v>Table 3. Farmington number of households by housing cost burden, 2019</v>
      </c>
      <c r="E78" s="7" t="s">
        <v>2804</v>
      </c>
    </row>
    <row r="79" spans="2:10">
      <c r="B79" s="7" t="str">
        <f>'Cost Burden'!C173</f>
        <v>Table 4. Farmington percentage of households by housing cost burden, 2019</v>
      </c>
      <c r="E79" s="7" t="s">
        <v>2804</v>
      </c>
    </row>
    <row r="80" spans="2:10">
      <c r="B80" s="7" t="str">
        <f>'Rental Affordability'!C5</f>
        <v>Table 5. Farmington and Whitman County rental units by affordability and households by income, 2019</v>
      </c>
      <c r="E80" s="7" t="s">
        <v>1266</v>
      </c>
    </row>
    <row r="81" spans="2:5">
      <c r="B81" s="7" t="str">
        <f>Income!B6</f>
        <v>Table 6. Farmington count of households by income and race, 2019</v>
      </c>
      <c r="E81" s="7" t="s">
        <v>2662</v>
      </c>
    </row>
    <row r="82" spans="2:5">
      <c r="B82" s="7" t="str">
        <f>Income!B119</f>
        <v>Table 7. Farmington five year change in households by income and race, 2014 - 2019</v>
      </c>
      <c r="E82" s="7" t="s">
        <v>2662</v>
      </c>
    </row>
    <row r="83" spans="2:5">
      <c r="B83" s="7" t="str">
        <f>Income!B146</f>
        <v>Table 8. Farmington five year change in distribution of households by income and race, 2014 - 2019</v>
      </c>
      <c r="E83" s="7" t="s">
        <v>2662</v>
      </c>
    </row>
    <row r="84" spans="2:5">
      <c r="B84" s="7" t="str">
        <f>Tenure!B5</f>
        <v>Table 9. Farmington count of owner and renter households by racial group, 2019</v>
      </c>
      <c r="E84" s="7" t="s">
        <v>0</v>
      </c>
    </row>
    <row r="86" spans="2:5">
      <c r="B86" s="290" t="s">
        <v>2805</v>
      </c>
      <c r="C86" s="290"/>
      <c r="D86" s="290"/>
      <c r="E86" s="290"/>
    </row>
    <row r="87" spans="2:5" ht="14.5">
      <c r="B87" s="10" t="s">
        <v>2806</v>
      </c>
    </row>
    <row r="88" spans="2:5">
      <c r="B88" s="7" t="str">
        <f>'Racial Composition'!C29</f>
        <v>Chart 1. Farmington population by race and Hispanic or Latino ethnicity, 2020</v>
      </c>
      <c r="E88" s="7" t="s">
        <v>2697</v>
      </c>
    </row>
    <row r="89" spans="2:5">
      <c r="B89" s="7" t="str">
        <f>'Racial Composition'!C56</f>
        <v>Chart 1a. Farmington population by race and Hispanic ethnicity, 2020</v>
      </c>
      <c r="E89" s="7" t="s">
        <v>2697</v>
      </c>
    </row>
    <row r="90" spans="2:5">
      <c r="B90" s="7" t="str">
        <f>'Racial Composition'!C87</f>
        <v>Chart 2. Racial composition of Farmington and Whitman County, 2020</v>
      </c>
      <c r="E90" s="7" t="s">
        <v>2697</v>
      </c>
    </row>
    <row r="91" spans="2:5">
      <c r="B91" s="7" t="str">
        <f>'Racial Composition'!C113</f>
        <v>Chart 2a. Racial composition of Farmington and Whitman County, 2020</v>
      </c>
      <c r="E91" s="7" t="s">
        <v>2697</v>
      </c>
    </row>
    <row r="92" spans="2:5">
      <c r="B92" s="7" t="str">
        <f>'Racial Composition'!C138</f>
        <v>Chart 3. Racial composition of Farmington and Whitman County, 2015 and 2020</v>
      </c>
      <c r="E92" s="7" t="s">
        <v>2697</v>
      </c>
    </row>
    <row r="93" spans="2:5">
      <c r="B93" s="7" t="str">
        <f>'Cost Burden'!C29</f>
        <v>Chart 4. Farmington total housing cost burden by racial and ethnic group, 2019</v>
      </c>
      <c r="E93" s="7" t="s">
        <v>2804</v>
      </c>
    </row>
    <row r="94" spans="2:5">
      <c r="B94" s="7" t="str">
        <f>'Cost Burden'!C53</f>
        <v>Chart 4a. Farmington total housing cost burden by racial and ethnic group, 2019</v>
      </c>
      <c r="E94" s="7" t="s">
        <v>2804</v>
      </c>
    </row>
    <row r="95" spans="2:5">
      <c r="B95" s="7" t="str">
        <f>'Cost Burden'!C76</f>
        <v>Chart 5. Farmington number of owner households by race and cost burden, 2019</v>
      </c>
      <c r="E95" s="7" t="s">
        <v>2804</v>
      </c>
    </row>
    <row r="96" spans="2:5">
      <c r="B96" s="7" t="str">
        <f>'Cost Burden'!C100</f>
        <v>Chart 5a. Farmington number of owner households by race and cost burden, 2019</v>
      </c>
      <c r="E96" s="7" t="s">
        <v>2804</v>
      </c>
    </row>
    <row r="97" spans="2:5">
      <c r="B97" s="7" t="str">
        <f>'Cost Burden'!C124</f>
        <v>Chart 6. Farmington renter households by race and cost burden, 2019</v>
      </c>
      <c r="E97" s="7" t="s">
        <v>2804</v>
      </c>
    </row>
    <row r="98" spans="2:5">
      <c r="B98" s="7" t="str">
        <f>'Cost Burden'!C148</f>
        <v>Chart 6a. Farmington renter households by race and cost burden, 2019</v>
      </c>
      <c r="E98" s="7" t="s">
        <v>2804</v>
      </c>
    </row>
    <row r="99" spans="2:5">
      <c r="B99" s="7" t="str">
        <f>'Cost Burden'!C202</f>
        <v>Chart 7. Farmington percent of all households experiencing housing cost burden, 2019</v>
      </c>
      <c r="E99" s="7" t="s">
        <v>2804</v>
      </c>
    </row>
    <row r="100" spans="2:5">
      <c r="B100" s="7" t="str">
        <f>'Cost Burden'!C228</f>
        <v>Chart 7a. Farmington percent of all households experiencing housing cost burden, 2019</v>
      </c>
      <c r="E100" s="7" t="s">
        <v>2804</v>
      </c>
    </row>
    <row r="101" spans="2:5">
      <c r="B101" s="7" t="str">
        <f>'Cost Burden'!C246</f>
        <v>Chart 8. Farmington percent owner households experiencing housing cost burden, 2019</v>
      </c>
      <c r="E101" s="7" t="s">
        <v>2804</v>
      </c>
    </row>
    <row r="102" spans="2:5">
      <c r="B102" s="7" t="str">
        <f>'Cost Burden'!C272</f>
        <v>Chart 8a. Farmington percent owner households experiencing housing cost burden, 2019</v>
      </c>
      <c r="E102" s="7" t="s">
        <v>2804</v>
      </c>
    </row>
    <row r="103" spans="2:5">
      <c r="B103" s="7" t="str">
        <f>'Cost Burden'!C291</f>
        <v>Chart 9. Farmington percent renter households experiencing housing cost burden, 2019</v>
      </c>
      <c r="E103" s="7" t="s">
        <v>2804</v>
      </c>
    </row>
    <row r="104" spans="2:5">
      <c r="B104" s="7" t="str">
        <f>'Cost Burden'!C317</f>
        <v>Chart 9a. Farmington percent renter households experiencing housing cost burden, 2019</v>
      </c>
      <c r="E104" s="7" t="s">
        <v>2804</v>
      </c>
    </row>
    <row r="105" spans="2:5">
      <c r="B105" s="7" t="str">
        <f>'Rental Affordability'!C20</f>
        <v>Chart 10. Farmington and Whitman County renter household income compared to rental unit affordability, 2019</v>
      </c>
      <c r="E105" s="7" t="s">
        <v>1266</v>
      </c>
    </row>
    <row r="106" spans="2:5">
      <c r="B106" s="7" t="str">
        <f>'Rental Affordability'!C45</f>
        <v>Chart 11. Farmington renter households by income compared to rental units by affordability, 2019</v>
      </c>
      <c r="E106" s="7" t="s">
        <v>1266</v>
      </c>
    </row>
    <row r="107" spans="2:5">
      <c r="B107" s="7" t="str">
        <f>'Rental Affordability'!C78</f>
        <v>Chart 12. Farmington five year change in renter households by income and rental units by affordability, 2014 - 2019</v>
      </c>
      <c r="E107" s="7" t="s">
        <v>1266</v>
      </c>
    </row>
    <row r="108" spans="2:5">
      <c r="B108" s="7" t="str">
        <f>Income!B31</f>
        <v>Chart 13. Farmington number of households by income category and race, 2019</v>
      </c>
      <c r="E108" s="7" t="s">
        <v>2662</v>
      </c>
    </row>
    <row r="109" spans="2:5">
      <c r="B109" s="7" t="str">
        <f>Income!B55</f>
        <v>Chart 13a. Farmington number of households by income category and race, 2019</v>
      </c>
      <c r="E109" s="7" t="s">
        <v>2662</v>
      </c>
    </row>
    <row r="110" spans="2:5">
      <c r="B110" s="7" t="str">
        <f>Income!B78</f>
        <v>Chart 14. Farmington distribution of households by income and race or ethnicity, 2019</v>
      </c>
      <c r="E110" s="7" t="s">
        <v>2662</v>
      </c>
    </row>
    <row r="111" spans="2:5">
      <c r="B111" s="7" t="str">
        <f>Income!B100</f>
        <v>Chart 14a. Farmington distribution of households by income and race or ethnicity, 2019</v>
      </c>
      <c r="E111" s="7" t="s">
        <v>2662</v>
      </c>
    </row>
    <row r="112" spans="2:5">
      <c r="B112" s="7" t="str">
        <f>Income!B172</f>
        <v>Chart 15. Farmington percentage of all households by income category and race, (2010 - 2014 vs 2015 - 2019)</v>
      </c>
      <c r="E112" s="7" t="s">
        <v>2662</v>
      </c>
    </row>
    <row r="113" spans="2:5">
      <c r="B113" s="7" t="str">
        <f>Tenure!B22</f>
        <v>Chart 16. Farmington total number of owner and renter households by race and ethnicity, 2019</v>
      </c>
      <c r="E113" s="7" t="s">
        <v>0</v>
      </c>
    </row>
    <row r="114" spans="2:5">
      <c r="B114" s="7" t="str">
        <f>Tenure!B47</f>
        <v>Chart 16a. Farmington total number of owner and renter households by race and ethnicity, 2019</v>
      </c>
      <c r="E114" s="7" t="s">
        <v>0</v>
      </c>
    </row>
    <row r="115" spans="2:5">
      <c r="B115" s="7" t="str">
        <f>Tenure!B69</f>
        <v xml:space="preserve">Chart 17. Farmington percent owner and renter households by race and ethnicity, 2019 </v>
      </c>
      <c r="E115" s="7" t="s">
        <v>0</v>
      </c>
    </row>
    <row r="116" spans="2:5">
      <c r="B116" s="7" t="str">
        <f>Tenure!B95</f>
        <v xml:space="preserve">Chart 17a. Farmington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Farmington and Whitman County, 2015 and 2020</v>
      </c>
      <c r="D5" s="303"/>
      <c r="E5" s="303"/>
      <c r="F5" s="303"/>
      <c r="G5" s="303"/>
      <c r="H5" s="303"/>
      <c r="I5" s="303"/>
      <c r="J5" s="303"/>
      <c r="K5" s="303"/>
      <c r="L5" s="303"/>
      <c r="M5" s="303"/>
      <c r="AA5" s="16" t="s">
        <v>2702</v>
      </c>
      <c r="AB5" s="297" t="str">
        <f>City</f>
        <v>Farmington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Farmington</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v>
      </c>
      <c r="H10" s="69">
        <f>AF15</f>
        <v>0</v>
      </c>
      <c r="I10" s="69">
        <f t="shared" ref="I10:I17" si="0">H10-G10</f>
        <v>-1</v>
      </c>
      <c r="J10" s="29"/>
      <c r="K10" s="69">
        <f>AK15</f>
        <v>204</v>
      </c>
      <c r="L10" s="69">
        <f>AL15</f>
        <v>130</v>
      </c>
      <c r="M10" s="69">
        <f t="shared" ref="M10:M17" si="1">L10-K10</f>
        <v>-74</v>
      </c>
      <c r="AE10" s="36" t="str">
        <f>City_label</f>
        <v>Farmington</v>
      </c>
      <c r="AF10" s="36" t="str">
        <f>City_label</f>
        <v>Farmington</v>
      </c>
      <c r="AG10" s="36" t="str">
        <f>City_label</f>
        <v>Farmington</v>
      </c>
      <c r="AH10" s="36" t="str">
        <f>City_label</f>
        <v>Farmington</v>
      </c>
      <c r="AI10" s="36" t="str">
        <f>City_label</f>
        <v>Farmington</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0</v>
      </c>
      <c r="H11" s="69">
        <f>AF16</f>
        <v>0</v>
      </c>
      <c r="I11" s="69">
        <f t="shared" si="0"/>
        <v>0</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8</v>
      </c>
      <c r="H13" s="69">
        <f>AF20</f>
        <v>7</v>
      </c>
      <c r="I13" s="69">
        <f t="shared" si="0"/>
        <v>-1</v>
      </c>
      <c r="J13" s="29"/>
      <c r="K13" s="69">
        <f>AK20</f>
        <v>2517</v>
      </c>
      <c r="L13" s="69">
        <f>AL20</f>
        <v>3186</v>
      </c>
      <c r="M13" s="69">
        <f t="shared" si="1"/>
        <v>669</v>
      </c>
      <c r="AA13" s="112" t="s">
        <v>2493</v>
      </c>
      <c r="AB13" s="112" t="s">
        <v>2483</v>
      </c>
      <c r="AC13" t="s">
        <v>2672</v>
      </c>
      <c r="AE13" s="1">
        <v>93</v>
      </c>
      <c r="AF13" s="1">
        <v>131</v>
      </c>
      <c r="AG13" s="6">
        <f t="shared" ref="AG13:AH20" si="2">AE13/AE$21</f>
        <v>0.89423076923076927</v>
      </c>
      <c r="AH13" s="6">
        <f t="shared" si="2"/>
        <v>0.92253521126760563</v>
      </c>
      <c r="AI13" t="str">
        <f t="shared" ref="AI13:AI20" si="3">TEXT(AF13,"#,##0")&amp;CHAR(10)&amp;"("&amp;TEXT(AH13,"0%"&amp;")")</f>
        <v>131
(92%)</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0</v>
      </c>
      <c r="AF14" s="1">
        <v>0</v>
      </c>
      <c r="AG14" s="6">
        <f t="shared" si="2"/>
        <v>0</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1</v>
      </c>
      <c r="AF15" s="1">
        <v>0</v>
      </c>
      <c r="AG15" s="6">
        <f t="shared" si="2"/>
        <v>9.6153846153846159E-3</v>
      </c>
      <c r="AH15" s="6">
        <f t="shared" si="2"/>
        <v>0</v>
      </c>
      <c r="AI15" t="str">
        <f t="shared" si="3"/>
        <v>0
(0%)</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2</v>
      </c>
      <c r="H16" s="69">
        <f t="shared" si="6"/>
        <v>4</v>
      </c>
      <c r="I16" s="69">
        <f t="shared" si="0"/>
        <v>2</v>
      </c>
      <c r="J16" s="29"/>
      <c r="K16" s="69">
        <f t="shared" si="7"/>
        <v>1786</v>
      </c>
      <c r="L16" s="69">
        <f t="shared" si="7"/>
        <v>2235</v>
      </c>
      <c r="M16" s="69">
        <f t="shared" si="1"/>
        <v>449</v>
      </c>
      <c r="AA16" s="112" t="s">
        <v>2487</v>
      </c>
      <c r="AB16" s="112" t="s">
        <v>2477</v>
      </c>
      <c r="AC16" t="s">
        <v>2666</v>
      </c>
      <c r="AE16" s="1">
        <v>0</v>
      </c>
      <c r="AF16" s="1">
        <v>0</v>
      </c>
      <c r="AG16" s="6">
        <f t="shared" si="2"/>
        <v>0</v>
      </c>
      <c r="AH16" s="6">
        <f t="shared" si="2"/>
        <v>0</v>
      </c>
      <c r="AI16" t="str">
        <f t="shared" si="3"/>
        <v>0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93</v>
      </c>
      <c r="H17" s="69">
        <f>AF13</f>
        <v>131</v>
      </c>
      <c r="I17" s="69">
        <f t="shared" si="0"/>
        <v>38</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104</v>
      </c>
      <c r="H18" s="72">
        <f>SUM(H10:H17)</f>
        <v>142</v>
      </c>
      <c r="I18" s="72">
        <f>SUM(I10:I17)</f>
        <v>38</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2</v>
      </c>
      <c r="AF19" s="1">
        <v>4</v>
      </c>
      <c r="AG19" s="6">
        <f t="shared" si="2"/>
        <v>1.9230769230769232E-2</v>
      </c>
      <c r="AH19" s="6">
        <f t="shared" si="2"/>
        <v>2.8169014084507043E-2</v>
      </c>
      <c r="AI19" t="str">
        <f t="shared" si="3"/>
        <v>4
(3%)</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8</v>
      </c>
      <c r="AF20" s="1">
        <v>7</v>
      </c>
      <c r="AG20" s="6">
        <f t="shared" si="2"/>
        <v>7.6923076923076927E-2</v>
      </c>
      <c r="AH20" s="6">
        <f t="shared" si="2"/>
        <v>4.9295774647887321E-2</v>
      </c>
      <c r="AI20" t="str">
        <f t="shared" si="3"/>
        <v>7
(5%)</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104</v>
      </c>
      <c r="AF21" s="3">
        <v>142</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Farmington</v>
      </c>
      <c r="AH24" s="16" t="str">
        <f>City_label</f>
        <v>Farmington</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8</v>
      </c>
      <c r="AF28" s="5">
        <f>AF20</f>
        <v>7</v>
      </c>
      <c r="AG28" s="6">
        <f>AE28/$AE$31</f>
        <v>7.6923076923076927E-2</v>
      </c>
      <c r="AH28" s="6">
        <f>AF28/$AF$31</f>
        <v>4.9295774647887321E-2</v>
      </c>
      <c r="AI28" t="str">
        <f>TEXT(AF28,"#,##0")&amp;CHAR(10)&amp;"("&amp;TEXT(AH28,"0%"&amp;")")</f>
        <v>7
(5%)</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Farmington population by race and Hispanic or Latino ethnicity, 2020</v>
      </c>
      <c r="D29" s="303"/>
      <c r="E29" s="303"/>
      <c r="F29" s="303"/>
      <c r="G29" s="303"/>
      <c r="H29" s="303"/>
      <c r="I29" s="303"/>
      <c r="J29" s="303"/>
      <c r="K29" s="303"/>
      <c r="L29" s="303"/>
      <c r="M29" s="303"/>
      <c r="AC29" t="s">
        <v>2706</v>
      </c>
      <c r="AE29" s="5">
        <f>SUM(AE15,AE17,AE18,AE19)</f>
        <v>3</v>
      </c>
      <c r="AF29" s="5">
        <f>SUM(AF15,AF17,AF18,AF19)</f>
        <v>4</v>
      </c>
      <c r="AG29" s="6">
        <f>AE29/$AE$31</f>
        <v>2.8846153846153848E-2</v>
      </c>
      <c r="AH29" s="6">
        <f>AF29/$AF$31</f>
        <v>2.8169014084507043E-2</v>
      </c>
      <c r="AI29" t="str">
        <f>TEXT(AF29,"#,##0")&amp;CHAR(10)&amp;"("&amp;TEXT(AH29,"0%"&amp;")")</f>
        <v>4
(3%)</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93</v>
      </c>
      <c r="AF30" s="5">
        <f>AF13</f>
        <v>131</v>
      </c>
      <c r="AG30" s="6">
        <f>AE30/$AE$31</f>
        <v>0.89423076923076927</v>
      </c>
      <c r="AH30" s="6">
        <f>AF30/$AF$31</f>
        <v>0.92253521126760563</v>
      </c>
      <c r="AI30" t="str">
        <f>TEXT(AF30,"#,##0")&amp;CHAR(10)&amp;"("&amp;TEXT(AH30,"0%"&amp;")")</f>
        <v>131
(92%)</v>
      </c>
      <c r="AK30" s="5">
        <f>AK13</f>
        <v>37533</v>
      </c>
      <c r="AL30" s="5">
        <f>AL13</f>
        <v>38469</v>
      </c>
      <c r="AM30" s="6">
        <f>AK30/$AK$31</f>
        <v>0.80306823287759166</v>
      </c>
      <c r="AN30" s="6">
        <f>AL30/$AL$31</f>
        <v>0.77594449038868829</v>
      </c>
    </row>
    <row r="31" spans="3:51">
      <c r="AC31" t="s">
        <v>2667</v>
      </c>
      <c r="AE31" s="37">
        <f>SUM(AE26:AE30)</f>
        <v>104</v>
      </c>
      <c r="AF31" s="37">
        <f>SUM(AF26:AF30)</f>
        <v>142</v>
      </c>
      <c r="AK31" s="37">
        <f>SUM(AK26:AK30)</f>
        <v>46737</v>
      </c>
      <c r="AL31" s="37">
        <f>SUM(AL26:AL30)</f>
        <v>49577</v>
      </c>
    </row>
    <row r="32" spans="3:51">
      <c r="C32" s="16"/>
    </row>
    <row r="33" spans="27:40">
      <c r="AE33" s="5"/>
      <c r="AF33" s="5"/>
      <c r="AG33" s="6"/>
      <c r="AH33" s="6"/>
      <c r="AK33" s="5"/>
      <c r="AL33" s="5"/>
      <c r="AM33" s="6"/>
      <c r="AN33" s="6"/>
    </row>
    <row r="35" spans="27:40">
      <c r="AF35" s="47" t="str">
        <f>City_label</f>
        <v>Farmington</v>
      </c>
      <c r="AG35" s="298" t="str">
        <f>City_label</f>
        <v>Farmington</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8</v>
      </c>
      <c r="AF37" s="5">
        <f>AF20</f>
        <v>7</v>
      </c>
      <c r="AG37" s="6">
        <f>AG20</f>
        <v>7.6923076923076927E-2</v>
      </c>
      <c r="AH37" s="6">
        <f>AH20</f>
        <v>4.9295774647887321E-2</v>
      </c>
      <c r="AI37" t="str">
        <f>TEXT(AF37,"#,##0")&amp;CHAR(10)&amp;"("&amp;TEXT(AH37,"0%"&amp;")")</f>
        <v>7
(5%)</v>
      </c>
      <c r="AK37" s="5">
        <f>AK20</f>
        <v>2517</v>
      </c>
      <c r="AL37" s="5">
        <f>AL20</f>
        <v>3186</v>
      </c>
      <c r="AM37" s="6">
        <f>AM20</f>
        <v>5.3854547788689901E-2</v>
      </c>
      <c r="AN37" s="6">
        <f>AN20</f>
        <v>6.4263670653730565E-2</v>
      </c>
    </row>
    <row r="38" spans="27:40">
      <c r="AC38" t="s">
        <v>2739</v>
      </c>
      <c r="AE38" s="5">
        <f>SUM(AE14:AE19)</f>
        <v>3</v>
      </c>
      <c r="AF38" s="5">
        <f>SUM(AF14:AF19)</f>
        <v>4</v>
      </c>
      <c r="AG38" s="6">
        <f>SUM(AG14:AG19)</f>
        <v>2.8846153846153848E-2</v>
      </c>
      <c r="AH38" s="6">
        <f>SUM(AH14:AH19)</f>
        <v>2.8169014084507043E-2</v>
      </c>
      <c r="AI38" t="str">
        <f>TEXT(AF38,"#,##0")&amp;CHAR(10)&amp;"("&amp;TEXT(AH38,"0%"&amp;")")</f>
        <v>4
(3%)</v>
      </c>
      <c r="AK38" s="5">
        <f>SUM(AK14:AK19)</f>
        <v>6687</v>
      </c>
      <c r="AL38" s="5">
        <f>SUM(AL14:AL19)</f>
        <v>7922</v>
      </c>
      <c r="AM38" s="6">
        <f>SUM(AM14:AM19)</f>
        <v>0.14307721933371848</v>
      </c>
      <c r="AN38" s="6">
        <f>SUM(AN14:AN19)</f>
        <v>0.15979183895758114</v>
      </c>
    </row>
    <row r="39" spans="27:40">
      <c r="AC39" t="s">
        <v>2672</v>
      </c>
      <c r="AE39" s="5">
        <f>AE13</f>
        <v>93</v>
      </c>
      <c r="AF39" s="5">
        <f>AF13</f>
        <v>131</v>
      </c>
      <c r="AG39" s="6">
        <f>AG13</f>
        <v>0.89423076923076927</v>
      </c>
      <c r="AH39" s="6">
        <f>AH13</f>
        <v>0.92253521126760563</v>
      </c>
      <c r="AI39" t="str">
        <f>TEXT(AF39,"#,##0")&amp;CHAR(10)&amp;"("&amp;TEXT(AH39,"0%"&amp;")")</f>
        <v>131
(92%)</v>
      </c>
      <c r="AK39" s="5">
        <f>AK13</f>
        <v>37533</v>
      </c>
      <c r="AL39" s="5">
        <f>AL13</f>
        <v>38469</v>
      </c>
      <c r="AM39" s="6">
        <f>AM13</f>
        <v>0.80306823287759166</v>
      </c>
      <c r="AN39" s="6">
        <f>AN13</f>
        <v>0.77594449038868829</v>
      </c>
    </row>
    <row r="40" spans="27:40" ht="14.25" customHeight="1">
      <c r="AD40" t="s">
        <v>2667</v>
      </c>
      <c r="AE40" s="37">
        <f>SUM(AE37:AE38)</f>
        <v>11</v>
      </c>
      <c r="AF40" s="37">
        <f>SUM(AF37:AF38)</f>
        <v>11</v>
      </c>
      <c r="AG40" s="53">
        <f>SUM(AG37:AG38)</f>
        <v>0.10576923076923078</v>
      </c>
      <c r="AH40" s="53">
        <f>SUM(AH37:AH38)</f>
        <v>7.746478873239436E-2</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Farmington</v>
      </c>
      <c r="AF49" s="36" t="str">
        <f>City_label</f>
        <v>Farmington</v>
      </c>
      <c r="AG49" s="36" t="str">
        <f>City_label</f>
        <v>Farmington</v>
      </c>
      <c r="AH49" s="98" t="str">
        <f>IF(AH50&gt;=1, "Small Numbers", "")</f>
        <v>Small Numbers</v>
      </c>
      <c r="AK49" s="36" t="str">
        <f>City_label</f>
        <v>Farmington</v>
      </c>
      <c r="AL49" s="36" t="str">
        <f>City_label</f>
        <v>Farmington</v>
      </c>
      <c r="AM49" s="36" t="str">
        <f>City_label</f>
        <v>Farmington</v>
      </c>
      <c r="AN49" t="str">
        <f>IF(AN50&gt;=1, "Small Numbers", "")</f>
        <v>Small Numbers</v>
      </c>
    </row>
    <row r="50" spans="3:40">
      <c r="AE50" s="36">
        <v>2015</v>
      </c>
      <c r="AF50" s="36">
        <v>2015</v>
      </c>
      <c r="AG50" s="36">
        <v>2015</v>
      </c>
      <c r="AH50" s="160">
        <f>SUM(AH52:AH60)</f>
        <v>1</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93</v>
      </c>
      <c r="AF52" s="1">
        <v>32</v>
      </c>
      <c r="AG52" s="6">
        <f t="shared" ref="AG52:AG60" si="9">IFERROR(((AF52/1.645)/AE52), 0)</f>
        <v>0.20917083374187012</v>
      </c>
      <c r="AH52" s="98">
        <f>IF(AG52&gt;MOE_Threshold, 1, 0)</f>
        <v>0</v>
      </c>
      <c r="AK52" s="1">
        <v>131</v>
      </c>
      <c r="AL52" s="1">
        <v>49</v>
      </c>
      <c r="AM52" s="6">
        <f t="shared" ref="AM52:AM60" si="10">IFERROR(((AL52/1.645)/AK52), 0)</f>
        <v>0.22738346597368847</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v>
      </c>
      <c r="AF54" s="1">
        <v>2</v>
      </c>
      <c r="AG54" s="6">
        <f t="shared" si="9"/>
        <v>1.21580547112462</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Farmington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v>
      </c>
      <c r="AF58" s="1">
        <v>3</v>
      </c>
      <c r="AG58" s="6">
        <f t="shared" si="9"/>
        <v>0.91185410334346506</v>
      </c>
      <c r="AH58" s="98"/>
      <c r="AK58" s="1">
        <v>4</v>
      </c>
      <c r="AL58" s="1">
        <v>7</v>
      </c>
      <c r="AM58" s="6">
        <f t="shared" si="10"/>
        <v>1.0638297872340425</v>
      </c>
      <c r="AN58" s="98"/>
    </row>
    <row r="59" spans="3:40">
      <c r="AA59" s="112" t="s">
        <v>2496</v>
      </c>
      <c r="AB59" s="112" t="s">
        <v>2494</v>
      </c>
      <c r="AC59" t="s">
        <v>2790</v>
      </c>
      <c r="AE59" s="1">
        <v>8</v>
      </c>
      <c r="AF59" s="1">
        <v>11</v>
      </c>
      <c r="AG59" s="6">
        <f t="shared" si="9"/>
        <v>0.83586626139817632</v>
      </c>
      <c r="AH59" s="98">
        <f>IF(AG59&gt;MOE_Threshold, 1, 0)</f>
        <v>1</v>
      </c>
      <c r="AK59" s="1">
        <v>7</v>
      </c>
      <c r="AL59" s="1">
        <v>10</v>
      </c>
      <c r="AM59" s="6">
        <f t="shared" si="10"/>
        <v>0.86843247937472856</v>
      </c>
      <c r="AN59" s="98">
        <f>IF(AM59&gt;MOE_Threshold, 1, 0)</f>
        <v>1</v>
      </c>
    </row>
    <row r="60" spans="3:40">
      <c r="AA60" s="112" t="s">
        <v>2500</v>
      </c>
      <c r="AB60" s="112" t="s">
        <v>2498</v>
      </c>
      <c r="AC60" s="16" t="s">
        <v>2667</v>
      </c>
      <c r="AE60" s="2">
        <v>104</v>
      </c>
      <c r="AF60" s="2">
        <v>34</v>
      </c>
      <c r="AG60" s="6">
        <f t="shared" si="9"/>
        <v>0.19873743277998598</v>
      </c>
      <c r="AH60" s="98">
        <f>IF(AG60&gt;MOE_Threshold, 1, 0)</f>
        <v>0</v>
      </c>
      <c r="AK60" s="2">
        <v>142</v>
      </c>
      <c r="AL60" s="2">
        <v>51</v>
      </c>
      <c r="AM60" s="6">
        <f t="shared" si="10"/>
        <v>0.21833126418082965</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Farmington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Farmington</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7.5272268224319067E-2</v>
      </c>
      <c r="I79" s="179">
        <f t="shared" si="14"/>
        <v>8.3788853702321642E-2</v>
      </c>
    </row>
    <row r="80" spans="3:40">
      <c r="C80" s="29" t="s">
        <v>2673</v>
      </c>
      <c r="D80" s="29"/>
      <c r="E80" s="29"/>
      <c r="F80" s="101">
        <f t="shared" si="13"/>
        <v>0</v>
      </c>
      <c r="G80" s="101">
        <f t="shared" si="13"/>
        <v>0</v>
      </c>
      <c r="H80" s="101">
        <f t="shared" si="14"/>
        <v>2.1246549842737019E-2</v>
      </c>
      <c r="I80" s="101">
        <f t="shared" si="14"/>
        <v>1.9061258244750589E-2</v>
      </c>
    </row>
    <row r="81" spans="3:10">
      <c r="C81" s="29" t="s">
        <v>2790</v>
      </c>
      <c r="D81" s="29"/>
      <c r="E81" s="29"/>
      <c r="F81" s="179">
        <f t="shared" si="13"/>
        <v>7.6923076923076927E-2</v>
      </c>
      <c r="G81" s="179">
        <f t="shared" si="13"/>
        <v>4.9295774647887321E-2</v>
      </c>
      <c r="H81" s="179">
        <f t="shared" si="14"/>
        <v>5.3854547788689901E-2</v>
      </c>
      <c r="I81" s="179">
        <f t="shared" si="14"/>
        <v>6.4263670653730565E-2</v>
      </c>
    </row>
    <row r="82" spans="3:10">
      <c r="C82" s="29" t="s">
        <v>2706</v>
      </c>
      <c r="D82" s="29"/>
      <c r="E82" s="29"/>
      <c r="F82" s="101">
        <f t="shared" si="13"/>
        <v>2.8846153846153848E-2</v>
      </c>
      <c r="G82" s="101">
        <f t="shared" si="13"/>
        <v>2.8169014084507043E-2</v>
      </c>
      <c r="H82" s="101">
        <f t="shared" si="14"/>
        <v>4.6558401266662386E-2</v>
      </c>
      <c r="I82" s="101">
        <f t="shared" si="14"/>
        <v>5.6941727010508904E-2</v>
      </c>
    </row>
    <row r="83" spans="3:10" ht="13.9" customHeight="1">
      <c r="C83" s="29" t="s">
        <v>2672</v>
      </c>
      <c r="D83" s="29"/>
      <c r="E83" s="29"/>
      <c r="F83" s="179">
        <f t="shared" si="13"/>
        <v>0.89423076923076927</v>
      </c>
      <c r="G83" s="179">
        <f t="shared" si="13"/>
        <v>0.92253521126760563</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Farmington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Farmington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Farmington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Farmington number of households by housing cost burden, 2019</v>
      </c>
      <c r="J4" t="s">
        <v>2791</v>
      </c>
      <c r="R4" s="16" t="s">
        <v>2702</v>
      </c>
      <c r="S4" s="52" t="str">
        <f>City</f>
        <v>Farmington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40</v>
      </c>
      <c r="G10" s="102">
        <f t="shared" si="0"/>
        <v>0</v>
      </c>
      <c r="H10" s="102">
        <f t="shared" si="0"/>
        <v>0</v>
      </c>
      <c r="I10" s="102">
        <f t="shared" si="0"/>
        <v>0</v>
      </c>
      <c r="J10" s="102">
        <f t="shared" si="0"/>
        <v>0</v>
      </c>
      <c r="K10" s="102">
        <f t="shared" si="0"/>
        <v>0</v>
      </c>
      <c r="L10" s="102">
        <f t="shared" si="0"/>
        <v>0</v>
      </c>
      <c r="M10" s="102">
        <f>SUM(F10:L10)</f>
        <v>40</v>
      </c>
      <c r="S10" s="33" t="s">
        <v>12</v>
      </c>
      <c r="T10" s="5">
        <f t="shared" ref="T10:AA13" si="1">T30+T50</f>
        <v>50</v>
      </c>
      <c r="U10" s="5">
        <f t="shared" si="1"/>
        <v>0</v>
      </c>
      <c r="V10" s="5">
        <f t="shared" si="1"/>
        <v>0</v>
      </c>
      <c r="W10" s="5">
        <f t="shared" si="1"/>
        <v>0</v>
      </c>
      <c r="X10" s="5">
        <f t="shared" si="1"/>
        <v>0</v>
      </c>
      <c r="Y10" s="5">
        <f t="shared" si="1"/>
        <v>0</v>
      </c>
      <c r="Z10" s="5">
        <f t="shared" si="1"/>
        <v>0</v>
      </c>
      <c r="AA10" s="5">
        <f t="shared" si="1"/>
        <v>50</v>
      </c>
      <c r="AB10" s="5"/>
      <c r="AC10" s="5"/>
      <c r="AD10" s="33" t="s">
        <v>12</v>
      </c>
      <c r="AE10" s="5">
        <f>V10</f>
        <v>0</v>
      </c>
      <c r="AF10" s="5">
        <f>U10</f>
        <v>0</v>
      </c>
      <c r="AG10" s="5">
        <f>'Cost Burden'!Z10</f>
        <v>0</v>
      </c>
      <c r="AH10" s="5">
        <f>SUM(W10:Y10)</f>
        <v>0</v>
      </c>
      <c r="AI10" s="5">
        <f t="shared" ref="AI10" si="2">SUM(U10:Z10)</f>
        <v>0</v>
      </c>
      <c r="AJ10" s="5">
        <f>T10</f>
        <v>50</v>
      </c>
      <c r="AK10" s="5">
        <f t="shared" ref="AK10" si="3">SUM(AJ10,AE10:AH10)</f>
        <v>50</v>
      </c>
      <c r="AQ10" s="31"/>
      <c r="BC10" s="41"/>
      <c r="BG10" s="322"/>
      <c r="BH10" s="322"/>
      <c r="BI10" s="322"/>
    </row>
    <row r="11" spans="3:66" ht="13.9" customHeight="1">
      <c r="C11" s="69" t="str">
        <f>S36</f>
        <v>Total Cost-Burdened</v>
      </c>
      <c r="D11" s="29"/>
      <c r="E11" s="29"/>
      <c r="F11" s="102">
        <f>T36</f>
        <v>8</v>
      </c>
      <c r="G11" s="102">
        <f t="shared" ref="G11:L11" si="4">U36</f>
        <v>0</v>
      </c>
      <c r="H11" s="102">
        <f t="shared" si="4"/>
        <v>0</v>
      </c>
      <c r="I11" s="102">
        <f t="shared" si="4"/>
        <v>0</v>
      </c>
      <c r="J11" s="102">
        <f t="shared" si="4"/>
        <v>0</v>
      </c>
      <c r="K11" s="102">
        <f t="shared" si="4"/>
        <v>0</v>
      </c>
      <c r="L11" s="102">
        <f t="shared" si="4"/>
        <v>0</v>
      </c>
      <c r="M11" s="102">
        <f t="shared" ref="M11:M14" si="5">SUM(F11:L11)</f>
        <v>8</v>
      </c>
      <c r="S11" s="33" t="s">
        <v>1981</v>
      </c>
      <c r="T11" s="5">
        <f t="shared" si="1"/>
        <v>4</v>
      </c>
      <c r="U11" s="5">
        <f t="shared" si="1"/>
        <v>0</v>
      </c>
      <c r="V11" s="5">
        <f t="shared" si="1"/>
        <v>0</v>
      </c>
      <c r="W11" s="5">
        <f t="shared" si="1"/>
        <v>0</v>
      </c>
      <c r="X11" s="5">
        <f t="shared" si="1"/>
        <v>0</v>
      </c>
      <c r="Y11" s="5">
        <f t="shared" si="1"/>
        <v>0</v>
      </c>
      <c r="Z11" s="5">
        <f t="shared" si="1"/>
        <v>0</v>
      </c>
      <c r="AA11" s="5">
        <f t="shared" si="1"/>
        <v>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4</v>
      </c>
      <c r="AK11" s="5">
        <f t="shared" ref="AK11:AK13" si="11">SUM(AJ11,AE11:AH11)</f>
        <v>4</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4</v>
      </c>
      <c r="U12" s="5">
        <f t="shared" si="1"/>
        <v>0</v>
      </c>
      <c r="V12" s="5">
        <f t="shared" si="1"/>
        <v>0</v>
      </c>
      <c r="W12" s="5">
        <f t="shared" si="1"/>
        <v>0</v>
      </c>
      <c r="X12" s="5">
        <f t="shared" si="1"/>
        <v>0</v>
      </c>
      <c r="Y12" s="5">
        <f t="shared" si="1"/>
        <v>0</v>
      </c>
      <c r="Z12" s="5">
        <f t="shared" si="1"/>
        <v>0</v>
      </c>
      <c r="AA12" s="5">
        <f t="shared" si="1"/>
        <v>4</v>
      </c>
      <c r="AB12" s="5"/>
      <c r="AC12" s="5"/>
      <c r="AD12" s="33" t="s">
        <v>1982</v>
      </c>
      <c r="AE12" s="5">
        <f t="shared" si="6"/>
        <v>0</v>
      </c>
      <c r="AF12" s="5">
        <f t="shared" si="7"/>
        <v>0</v>
      </c>
      <c r="AG12" s="5">
        <f>'Cost Burden'!Z12</f>
        <v>0</v>
      </c>
      <c r="AH12" s="5">
        <f t="shared" si="8"/>
        <v>0</v>
      </c>
      <c r="AI12" s="5">
        <f t="shared" si="9"/>
        <v>0</v>
      </c>
      <c r="AJ12" s="5">
        <f t="shared" si="10"/>
        <v>4</v>
      </c>
      <c r="AK12" s="5">
        <f t="shared" si="11"/>
        <v>4</v>
      </c>
      <c r="AQ12" s="31"/>
      <c r="BC12" s="41"/>
      <c r="BG12" s="322" t="s">
        <v>1981</v>
      </c>
      <c r="BH12" s="322"/>
      <c r="BI12" s="322"/>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58</v>
      </c>
      <c r="U14" s="37">
        <f t="shared" si="13"/>
        <v>0</v>
      </c>
      <c r="V14" s="37">
        <f t="shared" si="13"/>
        <v>0</v>
      </c>
      <c r="W14" s="37">
        <f t="shared" si="13"/>
        <v>0</v>
      </c>
      <c r="X14" s="37">
        <f t="shared" si="13"/>
        <v>0</v>
      </c>
      <c r="Y14" s="37">
        <f t="shared" si="13"/>
        <v>0</v>
      </c>
      <c r="Z14" s="37">
        <f t="shared" si="13"/>
        <v>0</v>
      </c>
      <c r="AA14" s="37">
        <f>AA34+AA54</f>
        <v>55</v>
      </c>
      <c r="AB14" s="5"/>
      <c r="AC14" s="5"/>
      <c r="AD14" s="34" t="s">
        <v>1</v>
      </c>
      <c r="AE14" s="37">
        <f t="shared" si="6"/>
        <v>0</v>
      </c>
      <c r="AF14" s="37">
        <f t="shared" ref="AF14" si="14">U14</f>
        <v>0</v>
      </c>
      <c r="AG14" s="37">
        <f>'Cost Burden'!Z14</f>
        <v>0</v>
      </c>
      <c r="AH14" s="37">
        <f t="shared" ref="AH14" si="15">SUM(W14:Y14)</f>
        <v>0</v>
      </c>
      <c r="AI14" s="37">
        <f t="shared" ref="AI14" si="16">SUM(U14:Z14)</f>
        <v>0</v>
      </c>
      <c r="AJ14" s="37">
        <f t="shared" ref="AJ14" si="17">T14</f>
        <v>58</v>
      </c>
      <c r="AK14" s="58">
        <f>AA14</f>
        <v>55</v>
      </c>
      <c r="BC14" s="41"/>
      <c r="BH14" s="196"/>
    </row>
    <row r="15" spans="3:66">
      <c r="C15" s="29"/>
      <c r="D15" s="29"/>
      <c r="E15" s="75" t="str">
        <f>S14</f>
        <v>Total</v>
      </c>
      <c r="F15" s="104">
        <f>T34</f>
        <v>45</v>
      </c>
      <c r="G15" s="104">
        <f t="shared" ref="G15:L15" si="18">U34</f>
        <v>0</v>
      </c>
      <c r="H15" s="104">
        <f t="shared" si="18"/>
        <v>0</v>
      </c>
      <c r="I15" s="104">
        <f t="shared" si="18"/>
        <v>0</v>
      </c>
      <c r="J15" s="104">
        <f t="shared" si="18"/>
        <v>0</v>
      </c>
      <c r="K15" s="104">
        <f t="shared" si="18"/>
        <v>0</v>
      </c>
      <c r="L15" s="104">
        <f t="shared" si="18"/>
        <v>0</v>
      </c>
      <c r="M15" s="104">
        <f>SUM(F15:L15)</f>
        <v>45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0</v>
      </c>
      <c r="AK16" s="114">
        <f>SUM(AJ16,AE16:AH16)</f>
        <v>0</v>
      </c>
      <c r="BC16" s="41"/>
      <c r="BG16" s="322"/>
      <c r="BH16" s="322"/>
      <c r="BI16" s="322"/>
    </row>
    <row r="17" spans="3:55">
      <c r="C17" s="69" t="str">
        <f>S50</f>
        <v>Not Cost Burdened</v>
      </c>
      <c r="D17" s="29"/>
      <c r="E17" s="29"/>
      <c r="F17" s="102">
        <f t="shared" ref="F17:L17" si="21">T50</f>
        <v>10</v>
      </c>
      <c r="G17" s="102">
        <f t="shared" si="21"/>
        <v>0</v>
      </c>
      <c r="H17" s="102">
        <f t="shared" si="21"/>
        <v>0</v>
      </c>
      <c r="I17" s="102">
        <f t="shared" si="21"/>
        <v>0</v>
      </c>
      <c r="J17" s="102">
        <f t="shared" si="21"/>
        <v>0</v>
      </c>
      <c r="K17" s="102">
        <f t="shared" si="21"/>
        <v>0</v>
      </c>
      <c r="L17" s="102">
        <f t="shared" si="21"/>
        <v>0</v>
      </c>
      <c r="M17" s="102">
        <f>SUM(F17:L17)</f>
        <v>10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0</v>
      </c>
      <c r="G18" s="102">
        <f t="shared" si="22"/>
        <v>0</v>
      </c>
      <c r="H18" s="102">
        <f t="shared" si="22"/>
        <v>0</v>
      </c>
      <c r="I18" s="102">
        <f t="shared" si="22"/>
        <v>0</v>
      </c>
      <c r="J18" s="102">
        <f t="shared" si="22"/>
        <v>0</v>
      </c>
      <c r="K18" s="102">
        <f t="shared" si="22"/>
        <v>0</v>
      </c>
      <c r="L18" s="102">
        <f t="shared" si="22"/>
        <v>0</v>
      </c>
      <c r="M18" s="102">
        <f t="shared" ref="M18:M21" si="23">SUM(F18:L18)</f>
        <v>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10</v>
      </c>
      <c r="G22" s="106">
        <f t="shared" ref="G22:L22" si="25">U54</f>
        <v>0</v>
      </c>
      <c r="H22" s="106">
        <f t="shared" si="25"/>
        <v>0</v>
      </c>
      <c r="I22" s="106">
        <f t="shared" si="25"/>
        <v>0</v>
      </c>
      <c r="J22" s="106">
        <f t="shared" si="25"/>
        <v>0</v>
      </c>
      <c r="K22" s="106">
        <f t="shared" si="25"/>
        <v>0</v>
      </c>
      <c r="L22" s="106">
        <f t="shared" si="25"/>
        <v>0</v>
      </c>
      <c r="M22" s="104">
        <f>SUM(F22:L22)</f>
        <v>10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40</v>
      </c>
      <c r="AK22" s="5">
        <f>AA30</f>
        <v>40</v>
      </c>
      <c r="AQ22" s="31"/>
      <c r="BC22" s="41"/>
    </row>
    <row r="23" spans="3:55" ht="14.25" customHeight="1" thickBot="1">
      <c r="C23" s="77"/>
      <c r="D23" s="77"/>
      <c r="E23" s="78" t="s">
        <v>2709</v>
      </c>
      <c r="F23" s="107">
        <f>SUM(F15,F22)</f>
        <v>55</v>
      </c>
      <c r="G23" s="107">
        <f t="shared" ref="G23:M23" si="26">SUM(G15,G22)</f>
        <v>0</v>
      </c>
      <c r="H23" s="107">
        <f t="shared" si="26"/>
        <v>0</v>
      </c>
      <c r="I23" s="107">
        <f t="shared" si="26"/>
        <v>0</v>
      </c>
      <c r="J23" s="107">
        <f t="shared" si="26"/>
        <v>0</v>
      </c>
      <c r="K23" s="107">
        <f t="shared" si="26"/>
        <v>0</v>
      </c>
      <c r="L23" s="107">
        <f t="shared" si="26"/>
        <v>0</v>
      </c>
      <c r="M23" s="107">
        <f t="shared" si="26"/>
        <v>55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45</v>
      </c>
      <c r="AK26" s="37">
        <f>SUM(AJ26,AE26:AH26)</f>
        <v>45</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Farmington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40</v>
      </c>
      <c r="U30" s="1">
        <v>0</v>
      </c>
      <c r="V30" s="1">
        <v>0</v>
      </c>
      <c r="W30" s="1">
        <v>0</v>
      </c>
      <c r="X30" s="1">
        <v>0</v>
      </c>
      <c r="Y30" s="1">
        <v>0</v>
      </c>
      <c r="Z30" s="1">
        <v>0</v>
      </c>
      <c r="AA30" s="5">
        <f>SUM(T30:Z30)</f>
        <v>40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09"/>
      <c r="AF31" s="310"/>
      <c r="AG31" s="311"/>
      <c r="AH31" s="309"/>
      <c r="AI31" s="308"/>
      <c r="AJ31" s="308"/>
      <c r="AK31" s="309"/>
    </row>
    <row r="32" spans="3:55" ht="14.25" customHeight="1">
      <c r="C32" s="5"/>
      <c r="S32" s="33" t="s">
        <v>1982</v>
      </c>
      <c r="T32" s="1">
        <v>4</v>
      </c>
      <c r="U32" s="1">
        <v>0</v>
      </c>
      <c r="V32" s="1">
        <v>0</v>
      </c>
      <c r="W32" s="1">
        <v>0</v>
      </c>
      <c r="X32" s="1">
        <v>0</v>
      </c>
      <c r="Y32" s="1">
        <v>0</v>
      </c>
      <c r="Z32" s="1">
        <v>0</v>
      </c>
      <c r="AA32" s="5">
        <f t="shared" si="33"/>
        <v>4</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10</v>
      </c>
      <c r="AK33" s="5">
        <f t="shared" ref="AK33" si="34">SUM(AJ33,AE33:AH33)</f>
        <v>10</v>
      </c>
    </row>
    <row r="34" spans="3:49">
      <c r="S34" s="33" t="s">
        <v>2</v>
      </c>
      <c r="T34" s="1">
        <v>45</v>
      </c>
      <c r="U34" s="1">
        <v>0</v>
      </c>
      <c r="V34" s="1">
        <v>0</v>
      </c>
      <c r="W34" s="1">
        <v>0</v>
      </c>
      <c r="X34" s="1">
        <v>0</v>
      </c>
      <c r="Y34" s="1">
        <v>0</v>
      </c>
      <c r="Z34" s="1">
        <v>0</v>
      </c>
      <c r="AA34" s="37">
        <f t="shared" si="33"/>
        <v>45</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8</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10</v>
      </c>
      <c r="AK37" s="37">
        <f t="shared" si="40"/>
        <v>10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0</v>
      </c>
      <c r="AK39" s="114">
        <f>SUM(AJ39,AE39:AH39)</f>
        <v>0</v>
      </c>
    </row>
    <row r="40" spans="3:49">
      <c r="T40" s="57" t="s">
        <v>2637</v>
      </c>
      <c r="U40" s="57" t="s">
        <v>2637</v>
      </c>
      <c r="V40" s="57" t="s">
        <v>2637</v>
      </c>
      <c r="W40" s="57" t="s">
        <v>2637</v>
      </c>
      <c r="X40" s="57" t="s">
        <v>2637</v>
      </c>
      <c r="Y40" s="57" t="s">
        <v>2637</v>
      </c>
      <c r="Z40" s="57" t="s">
        <v>2637</v>
      </c>
      <c r="AE40" s="6">
        <f>AJ39/AJ37</f>
        <v>0</v>
      </c>
      <c r="AF40" s="6" t="e">
        <f>AI39/AI37</f>
        <v>#DIV/0!</v>
      </c>
      <c r="AG40" s="6" t="e">
        <f>AE39/AE37</f>
        <v>#DIV/0!</v>
      </c>
      <c r="AH40" s="6" t="e">
        <f>AF39/AF37</f>
        <v>#DIV/0!</v>
      </c>
      <c r="AI40" s="6" t="e">
        <f>AH39/AH37</f>
        <v>#DIV/0!</v>
      </c>
      <c r="AJ40" s="6" t="e">
        <f>AG39/AG37</f>
        <v>#DIV/0!</v>
      </c>
      <c r="AK40" s="6">
        <f>AK39/AK37</f>
        <v>0</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0.13793103448275862</v>
      </c>
    </row>
    <row r="48" spans="3:49" ht="14.25" customHeight="1">
      <c r="AC48" s="31"/>
      <c r="AD48" s="31" t="s">
        <v>2365</v>
      </c>
      <c r="AE48" s="44">
        <f>1-AE47</f>
        <v>1</v>
      </c>
      <c r="AF48" s="44">
        <f>1-AF47</f>
        <v>1</v>
      </c>
      <c r="AG48" s="44">
        <f>1-AG47</f>
        <v>1</v>
      </c>
      <c r="AH48" s="44">
        <f>1-AH47</f>
        <v>1</v>
      </c>
      <c r="AJ48" s="44">
        <f>1-AJ47</f>
        <v>1</v>
      </c>
      <c r="AK48" s="44">
        <f>1-AK47</f>
        <v>0.86206896551724133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e">
        <f t="shared" si="43"/>
        <v>#DIV/0!</v>
      </c>
      <c r="AJ49" s="44" t="e">
        <f>IF((AI13/AI14)=0, "",(AI13/AI14))</f>
        <v>#DIV/0!</v>
      </c>
      <c r="AK49" s="44" t="str">
        <f>IF((AJ13/AJ14)=0, "",(AJ13/AJ14))</f>
        <v/>
      </c>
      <c r="AL49" s="31"/>
      <c r="AM49" s="31"/>
      <c r="AN49" s="31"/>
    </row>
    <row r="50" spans="3:48">
      <c r="C50" s="315" t="s">
        <v>2711</v>
      </c>
      <c r="D50" s="315"/>
      <c r="E50" s="315"/>
      <c r="F50" s="315"/>
      <c r="G50" s="315"/>
      <c r="H50" s="315"/>
      <c r="I50" s="315"/>
      <c r="J50" s="315"/>
      <c r="K50" s="315"/>
      <c r="S50" s="33" t="s">
        <v>12</v>
      </c>
      <c r="T50" s="1">
        <v>10</v>
      </c>
      <c r="U50" s="1">
        <v>0</v>
      </c>
      <c r="V50" s="1">
        <v>0</v>
      </c>
      <c r="W50" s="1">
        <v>0</v>
      </c>
      <c r="X50" s="1">
        <v>0</v>
      </c>
      <c r="Y50" s="1">
        <v>0</v>
      </c>
      <c r="Z50" s="1">
        <v>0</v>
      </c>
      <c r="AA50" s="5">
        <f>SUM(T50:Z50)</f>
        <v>10</v>
      </c>
      <c r="AB50" s="56"/>
      <c r="AC50" s="31"/>
      <c r="AD50" s="31" t="s">
        <v>12</v>
      </c>
      <c r="AE50" s="44" t="e">
        <f>AE10/AE14</f>
        <v>#DIV/0!</v>
      </c>
      <c r="AF50" s="44" t="e">
        <f t="shared" ref="AF50:AH50" si="44">AF10/AF14</f>
        <v>#DIV/0!</v>
      </c>
      <c r="AG50" s="44" t="e">
        <f t="shared" si="44"/>
        <v>#DIV/0!</v>
      </c>
      <c r="AH50" s="44" t="e">
        <f t="shared" si="44"/>
        <v>#DIV/0!</v>
      </c>
      <c r="AJ50" s="44" t="e">
        <f>AI10/AI14</f>
        <v>#DIV/0!</v>
      </c>
      <c r="AK50" s="44">
        <f>AJ10/AJ14</f>
        <v>0.86206896551724133</v>
      </c>
      <c r="AL50" s="31"/>
      <c r="AM50" s="31"/>
      <c r="AN50" s="31"/>
      <c r="AO50" s="31"/>
    </row>
    <row r="51" spans="3:48" ht="14.25" customHeight="1">
      <c r="C51" s="315"/>
      <c r="D51" s="315"/>
      <c r="E51" s="315"/>
      <c r="F51" s="315"/>
      <c r="G51" s="315"/>
      <c r="H51" s="315"/>
      <c r="I51" s="315"/>
      <c r="J51" s="315"/>
      <c r="K51" s="315"/>
      <c r="S51" s="33" t="s">
        <v>1981</v>
      </c>
      <c r="T51" s="1">
        <v>0</v>
      </c>
      <c r="U51" s="1">
        <v>0</v>
      </c>
      <c r="V51" s="1">
        <v>0</v>
      </c>
      <c r="W51" s="1">
        <v>0</v>
      </c>
      <c r="X51" s="1">
        <v>0</v>
      </c>
      <c r="Y51" s="1">
        <v>0</v>
      </c>
      <c r="Z51" s="1">
        <v>0</v>
      </c>
      <c r="AA51" s="5">
        <f t="shared" ref="AA51:AA54" si="45">SUM(T51:Z51)</f>
        <v>0</v>
      </c>
      <c r="AB51" s="56"/>
      <c r="AD51" s="31" t="s">
        <v>1981</v>
      </c>
      <c r="AE51" s="44" t="e">
        <f>AE11/AE14</f>
        <v>#DIV/0!</v>
      </c>
      <c r="AF51" s="44" t="e">
        <f t="shared" ref="AF51:AH51" si="46">AF11/AF14</f>
        <v>#DIV/0!</v>
      </c>
      <c r="AG51" s="44" t="e">
        <f t="shared" si="46"/>
        <v>#DIV/0!</v>
      </c>
      <c r="AH51" s="44" t="e">
        <f t="shared" si="46"/>
        <v>#DIV/0!</v>
      </c>
      <c r="AJ51" s="44" t="e">
        <f>AI11/AI14</f>
        <v>#DIV/0!</v>
      </c>
      <c r="AK51" s="44">
        <f>AJ11/AJ14</f>
        <v>6.8965517241379309E-2</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t="e">
        <f t="shared" si="47"/>
        <v>#DIV/0!</v>
      </c>
      <c r="AH52" s="44" t="e">
        <f t="shared" si="47"/>
        <v>#DIV/0!</v>
      </c>
      <c r="AJ52" s="44" t="e">
        <f>AI12/AI14</f>
        <v>#DIV/0!</v>
      </c>
      <c r="AK52" s="44">
        <f>AJ12/AJ14</f>
        <v>6.8965517241379309E-2</v>
      </c>
      <c r="AL52" s="31"/>
      <c r="AM52" s="31"/>
      <c r="AN52" s="31"/>
      <c r="AO52" s="31"/>
    </row>
    <row r="53" spans="3:48" ht="18" customHeight="1">
      <c r="C53" s="303" t="str">
        <f>"Chart 4a. "&amp;City_label&amp;" total housing cost burden by racial and ethnic group, 2019"</f>
        <v>Chart 4a. Farmington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10</v>
      </c>
      <c r="U54" s="1">
        <v>0</v>
      </c>
      <c r="V54" s="1">
        <v>0</v>
      </c>
      <c r="W54" s="1">
        <v>0</v>
      </c>
      <c r="X54" s="1">
        <v>0</v>
      </c>
      <c r="Y54" s="1">
        <v>0</v>
      </c>
      <c r="Z54" s="1">
        <v>0</v>
      </c>
      <c r="AA54" s="37">
        <f t="shared" si="45"/>
        <v>10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14%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0.17777777777777778</v>
      </c>
      <c r="AL56" s="31"/>
      <c r="AM56" s="31"/>
      <c r="AN56" s="31"/>
      <c r="AO56" s="31"/>
    </row>
    <row r="57" spans="3:48" ht="14.25" customHeight="1">
      <c r="AD57" s="31" t="s">
        <v>2365</v>
      </c>
      <c r="AE57" s="44">
        <f>1-AE56</f>
        <v>1</v>
      </c>
      <c r="AF57" s="44">
        <f>1-AF56</f>
        <v>1</v>
      </c>
      <c r="AG57" s="44">
        <f>1-AG56</f>
        <v>1</v>
      </c>
      <c r="AH57" s="44">
        <f>1-AH56</f>
        <v>1</v>
      </c>
      <c r="AJ57" s="44">
        <f>1-AJ56</f>
        <v>1</v>
      </c>
      <c r="AK57" s="44">
        <f>1-AK56</f>
        <v>0.82222222222222219</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0.88888888888888884</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8.8888888888888892E-2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8.8888888888888892E-2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18%</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Farmington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12</v>
      </c>
      <c r="Z76" s="1">
        <v>19</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6</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49</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0.28875379939209728</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1.8237082066869301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0.91185410334346506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Farmington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12</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48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0.72948328267477203</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Farmington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Farmington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Farmington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t="e">
        <f>AJ50</f>
        <v>#DIV/0!</v>
      </c>
      <c r="G181" s="116">
        <f>AK50</f>
        <v>0.86206896551724133</v>
      </c>
      <c r="H181" s="269" t="e">
        <f>AE50</f>
        <v>#DIV/0!</v>
      </c>
      <c r="I181" s="270" t="e">
        <f>AF50</f>
        <v>#DIV/0!</v>
      </c>
      <c r="J181" s="270" t="e">
        <f>AG50</f>
        <v>#DIV/0!</v>
      </c>
      <c r="K181" s="270" t="e">
        <f>AH50</f>
        <v>#DIV/0!</v>
      </c>
    </row>
    <row r="182" spans="3:28" ht="18.75" customHeight="1">
      <c r="C182" s="29" t="s">
        <v>2364</v>
      </c>
      <c r="D182" s="29"/>
      <c r="E182" s="29"/>
      <c r="F182" s="116" t="str">
        <f>AJ47</f>
        <v>0</v>
      </c>
      <c r="G182" s="116">
        <f>AK47</f>
        <v>0.13793103448275862</v>
      </c>
      <c r="H182" s="269" t="str">
        <f>AE47</f>
        <v>0</v>
      </c>
      <c r="I182" s="270" t="str">
        <f>AF47</f>
        <v>0</v>
      </c>
      <c r="J182" s="270" t="str">
        <f>AG47</f>
        <v>0</v>
      </c>
      <c r="K182" s="270" t="str">
        <f>AH47</f>
        <v>0</v>
      </c>
    </row>
    <row r="183" spans="3:28" ht="18.75" customHeight="1">
      <c r="C183" s="121" t="s">
        <v>1981</v>
      </c>
      <c r="D183" s="118"/>
      <c r="E183" s="118"/>
      <c r="F183" s="122" t="e">
        <f>AJ51</f>
        <v>#DIV/0!</v>
      </c>
      <c r="G183" s="122">
        <f>AK51</f>
        <v>6.8965517241379309E-2</v>
      </c>
      <c r="H183" s="271" t="e">
        <f t="shared" ref="H183:K184" si="63">AE51</f>
        <v>#DIV/0!</v>
      </c>
      <c r="I183" s="272" t="e">
        <f t="shared" si="63"/>
        <v>#DIV/0!</v>
      </c>
      <c r="J183" s="272" t="e">
        <f t="shared" si="63"/>
        <v>#DIV/0!</v>
      </c>
      <c r="K183" s="272" t="e">
        <f t="shared" si="63"/>
        <v>#DIV/0!</v>
      </c>
    </row>
    <row r="184" spans="3:28">
      <c r="C184" s="121" t="s">
        <v>1982</v>
      </c>
      <c r="D184" s="118"/>
      <c r="E184" s="118"/>
      <c r="F184" s="122" t="e">
        <f>AJ52</f>
        <v>#DIV/0!</v>
      </c>
      <c r="G184" s="122">
        <f>AK52</f>
        <v>6.8965517241379309E-2</v>
      </c>
      <c r="H184" s="271" t="e">
        <f t="shared" si="63"/>
        <v>#DIV/0!</v>
      </c>
      <c r="I184" s="272" t="e">
        <f t="shared" si="63"/>
        <v>#DIV/0!</v>
      </c>
      <c r="J184" s="272" t="e">
        <f t="shared" si="63"/>
        <v>#DIV/0!</v>
      </c>
      <c r="K184" s="272" t="e">
        <f t="shared" si="63"/>
        <v>#DIV/0!</v>
      </c>
    </row>
    <row r="185" spans="3:28">
      <c r="C185" s="29" t="s">
        <v>13</v>
      </c>
      <c r="D185" s="29"/>
      <c r="E185" s="29"/>
      <c r="F185" s="116" t="e">
        <f>AJ49</f>
        <v>#DIV/0!</v>
      </c>
      <c r="G185" s="116" t="str">
        <f>AK49</f>
        <v/>
      </c>
      <c r="H185" s="269" t="e">
        <f>AE49</f>
        <v>#DIV/0!</v>
      </c>
      <c r="I185" s="270" t="e">
        <f>AF49</f>
        <v>#DIV/0!</v>
      </c>
      <c r="J185" s="270" t="e">
        <f>AG49</f>
        <v>#DIV/0!</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0.88888888888888884</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f>AK56</f>
        <v>0.17777777777777778</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8.8888888888888892E-2</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8.8888888888888892E-2</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1</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t="str">
        <f>AK65</f>
        <v>0</v>
      </c>
      <c r="H194" s="269" t="str">
        <f>AE65</f>
        <v>0%</v>
      </c>
      <c r="I194" s="270" t="str">
        <f>AF65</f>
        <v>0%</v>
      </c>
      <c r="J194" s="270" t="str">
        <f>AG65</f>
        <v>0%</v>
      </c>
      <c r="K194" s="270" t="str">
        <f>AH65</f>
        <v>0%</v>
      </c>
    </row>
    <row r="195" spans="3:26" ht="14.25" customHeight="1">
      <c r="C195" s="121" t="s">
        <v>1981</v>
      </c>
      <c r="D195" s="118"/>
      <c r="E195" s="118"/>
      <c r="F195" s="122" t="e">
        <f>AJ69</f>
        <v>#DIV/0!</v>
      </c>
      <c r="G195" s="122">
        <f>AK69</f>
        <v>0</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Farmington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Farmington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Farmington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Farmington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Farmington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Farmington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Farmington and Whitman County rental units by affordability and households by income, 2019</v>
      </c>
      <c r="D5" s="340"/>
      <c r="E5" s="340"/>
      <c r="F5" s="340"/>
      <c r="G5" s="340"/>
      <c r="H5" s="340"/>
      <c r="I5" s="340"/>
      <c r="J5" s="340"/>
      <c r="K5" s="340"/>
      <c r="L5" s="340"/>
      <c r="AA5" s="16" t="s">
        <v>2702</v>
      </c>
      <c r="AB5" s="297" t="str">
        <f>City</f>
        <v>Farmington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Farmington</v>
      </c>
      <c r="G8" s="219"/>
      <c r="H8" s="218"/>
      <c r="I8" s="65" t="str">
        <f>City_label</f>
        <v>Farmington</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Farmington</v>
      </c>
      <c r="AD10" s="63"/>
      <c r="AE10" s="220"/>
      <c r="AF10" s="63" t="str">
        <f>County_label</f>
        <v>Whitman County</v>
      </c>
      <c r="AG10" s="63"/>
      <c r="AH10" s="220"/>
      <c r="AK10" s="63" t="str">
        <f>City_label</f>
        <v>Farmington</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10</v>
      </c>
      <c r="H11" s="209"/>
      <c r="I11" s="255">
        <f>AC22/$AC$27</f>
        <v>0.4</v>
      </c>
      <c r="J11" s="255">
        <f>SUM(AD22:AE22)/SUM($AD$27:$AE$27)</f>
        <v>0.55555555555555558</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0</v>
      </c>
      <c r="G12" s="208">
        <f t="shared" ref="G12:G14" si="1">SUM(AD23:AE23)</f>
        <v>4</v>
      </c>
      <c r="H12" s="209"/>
      <c r="I12" s="255">
        <f t="shared" ref="I12:I15" si="2">AC23/$AC$27</f>
        <v>0</v>
      </c>
      <c r="J12" s="255">
        <f t="shared" ref="J12:J14" si="3">SUM(AD23:AE23)/SUM($AD$27:$AE$27)</f>
        <v>0.22222222222222221</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0.4</v>
      </c>
      <c r="AL12" s="222">
        <f>SUM(AD22:AE22)/SUM($AD$27:$AE$27)</f>
        <v>0.55555555555555558</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4</v>
      </c>
      <c r="H13" s="209"/>
      <c r="I13" s="255">
        <f t="shared" si="2"/>
        <v>0.4</v>
      </c>
      <c r="J13" s="255">
        <f t="shared" si="3"/>
        <v>0.22222222222222221</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v>
      </c>
      <c r="AL13" s="222">
        <f t="shared" ref="AL13:AL15" si="6">SUM(AD23:AE23)/SUM($AD$27:$AE$27)</f>
        <v>0.22222222222222221</v>
      </c>
      <c r="AN13" s="222">
        <f t="shared" ref="AN13:AN14" si="7">AF23/AF$27</f>
        <v>0.20601281419418432</v>
      </c>
      <c r="AO13" s="222">
        <f t="shared" ref="AO13:AO15" si="8">SUM(AG23:AH23)/SUM($AG$27:$AH$27)</f>
        <v>0.36553030303030304</v>
      </c>
    </row>
    <row r="14" spans="3:70" ht="18" customHeight="1">
      <c r="C14" s="43" t="s">
        <v>2816</v>
      </c>
      <c r="D14" s="29"/>
      <c r="E14" s="29"/>
      <c r="F14" s="210">
        <f t="shared" si="0"/>
        <v>4</v>
      </c>
      <c r="G14" s="208">
        <f t="shared" si="1"/>
        <v>0</v>
      </c>
      <c r="H14" s="211"/>
      <c r="I14" s="255">
        <f t="shared" si="2"/>
        <v>0.4</v>
      </c>
      <c r="J14" s="255">
        <f t="shared" si="3"/>
        <v>0</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0.4</v>
      </c>
      <c r="AL14" s="222">
        <f t="shared" si="6"/>
        <v>0.22222222222222221</v>
      </c>
      <c r="AN14" s="222">
        <f t="shared" si="7"/>
        <v>0.18728437654016758</v>
      </c>
      <c r="AO14" s="222">
        <f t="shared" si="8"/>
        <v>0.43276515151515149</v>
      </c>
      <c r="BP14" s="185"/>
      <c r="BQ14" s="185"/>
      <c r="BR14" s="185"/>
    </row>
    <row r="15" spans="3:70" ht="18" customHeight="1">
      <c r="C15" s="70" t="s">
        <v>2818</v>
      </c>
      <c r="D15" s="70"/>
      <c r="E15" s="70"/>
      <c r="F15" s="212">
        <f t="shared" si="0"/>
        <v>4</v>
      </c>
      <c r="G15" s="212">
        <f>AD26</f>
        <v>0</v>
      </c>
      <c r="H15" s="213"/>
      <c r="I15" s="264">
        <f t="shared" si="2"/>
        <v>0.4</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0.8</v>
      </c>
      <c r="AL15" s="224">
        <f t="shared" si="6"/>
        <v>0</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10</v>
      </c>
      <c r="G16" s="221">
        <f>SUM(G11:G15)</f>
        <v>18</v>
      </c>
      <c r="AA16" s="28" t="s">
        <v>2725</v>
      </c>
      <c r="AC16" s="112" t="s">
        <v>11</v>
      </c>
      <c r="AD16" s="112"/>
      <c r="AE16" s="112"/>
      <c r="AF16" s="112" t="s">
        <v>11</v>
      </c>
      <c r="AG16" s="112"/>
      <c r="AH16" s="112"/>
      <c r="AJ16" s="28"/>
      <c r="AK16" s="223">
        <f>SUM(AK12:AK15)</f>
        <v>1.6</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Farmington and Whitman County renter household income compared to rental unit affordability, 2019</v>
      </c>
      <c r="D20" s="303"/>
      <c r="E20" s="303"/>
      <c r="F20" s="303"/>
      <c r="G20" s="303"/>
      <c r="H20" s="303"/>
      <c r="I20" s="303"/>
      <c r="J20" s="303"/>
      <c r="K20" s="303"/>
      <c r="L20" s="303"/>
      <c r="AA20" s="31"/>
      <c r="AC20" s="63" t="str">
        <f>City_label</f>
        <v>Farmington</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10</v>
      </c>
      <c r="AE22" s="1">
        <v>0</v>
      </c>
      <c r="AF22" s="1">
        <v>3625</v>
      </c>
      <c r="AG22" s="1">
        <v>1010</v>
      </c>
      <c r="AH22" s="1">
        <v>70</v>
      </c>
    </row>
    <row r="23" spans="3:71" ht="17.25" customHeight="1">
      <c r="AA23" s="7" t="s">
        <v>2828</v>
      </c>
      <c r="AC23" s="1">
        <v>0</v>
      </c>
      <c r="AD23" s="1">
        <v>4</v>
      </c>
      <c r="AE23" s="1">
        <v>0</v>
      </c>
      <c r="AF23" s="1">
        <v>2090</v>
      </c>
      <c r="AG23" s="1">
        <v>3665</v>
      </c>
      <c r="AH23" s="1">
        <v>195</v>
      </c>
    </row>
    <row r="24" spans="3:71" ht="17.25" customHeight="1">
      <c r="C24" s="51"/>
      <c r="AA24" s="7" t="s">
        <v>2829</v>
      </c>
      <c r="AC24" s="1">
        <v>4</v>
      </c>
      <c r="AD24" s="1">
        <v>4</v>
      </c>
      <c r="AE24" s="1">
        <v>0</v>
      </c>
      <c r="AF24" s="1">
        <v>1900</v>
      </c>
      <c r="AG24" s="1">
        <v>4455</v>
      </c>
      <c r="AH24" s="1">
        <v>115</v>
      </c>
    </row>
    <row r="25" spans="3:71" ht="17.25" customHeight="1">
      <c r="C25" s="51"/>
      <c r="AA25" s="7" t="s">
        <v>2831</v>
      </c>
      <c r="AC25" s="1">
        <v>4</v>
      </c>
      <c r="AD25" s="1">
        <v>0</v>
      </c>
      <c r="AE25" s="1">
        <v>0</v>
      </c>
      <c r="AF25" s="1">
        <v>730</v>
      </c>
      <c r="AG25" s="1">
        <v>810</v>
      </c>
      <c r="AH25" s="1">
        <v>240</v>
      </c>
    </row>
    <row r="26" spans="3:71" ht="17.25" customHeight="1">
      <c r="C26" s="51"/>
      <c r="AA26" s="28" t="s">
        <v>2725</v>
      </c>
      <c r="AC26" s="1">
        <v>4</v>
      </c>
      <c r="AD26" s="1"/>
      <c r="AE26" s="1"/>
      <c r="AF26" s="1">
        <v>1800</v>
      </c>
      <c r="AG26" s="1"/>
      <c r="AH26" s="1"/>
      <c r="AI26" s="31"/>
    </row>
    <row r="27" spans="3:71" ht="18">
      <c r="C27" s="51"/>
      <c r="AA27" s="7" t="s">
        <v>2</v>
      </c>
      <c r="AC27" s="2">
        <v>10</v>
      </c>
      <c r="AD27" s="1">
        <v>18</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10</v>
      </c>
      <c r="AE35" s="188">
        <f>AD35-AC35</f>
        <v>6</v>
      </c>
      <c r="AF35" s="31"/>
      <c r="AG35" s="5">
        <f>MAX(AC35,AD35)</f>
        <v>10</v>
      </c>
      <c r="AH35" s="5">
        <f>AG35+$AH$39</f>
        <v>10.4</v>
      </c>
      <c r="AI35" t="str">
        <f>IF(AE35&lt;0,"Shortfall:",IF(AE35&gt;0,"Surplus: ",""))&amp;CHAR(10)&amp;TEXT((AE35),"+#,##0;-#,##0;0")&amp;" units"</f>
        <v>Surplus: 
+6 units</v>
      </c>
    </row>
    <row r="36" spans="3:39">
      <c r="AA36" s="7" t="s">
        <v>2828</v>
      </c>
      <c r="AB36" s="164" t="s">
        <v>1271</v>
      </c>
      <c r="AC36" s="5">
        <f>AC23</f>
        <v>0</v>
      </c>
      <c r="AD36" s="33">
        <f>SUM(AD23:AE23)</f>
        <v>4</v>
      </c>
      <c r="AE36" s="188">
        <f>AD36-AC36</f>
        <v>4</v>
      </c>
      <c r="AF36" s="31"/>
      <c r="AG36" s="5">
        <f>MAX(AC36,AD36)</f>
        <v>4</v>
      </c>
      <c r="AH36" s="5">
        <f>AG36+$AH$39</f>
        <v>4.4000000000000004</v>
      </c>
      <c r="AI36" t="str">
        <f>IF(AE36&lt;0,"Shortfall:",IF(AE36&gt;0,"Surplus: ",""))&amp;CHAR(10)&amp;TEXT((AE36),"+#,##0;-#,##0;0")&amp;" units"</f>
        <v>Surplus: 
+4 units</v>
      </c>
    </row>
    <row r="37" spans="3:39">
      <c r="AA37" s="7" t="s">
        <v>2829</v>
      </c>
      <c r="AB37" s="164" t="s">
        <v>1272</v>
      </c>
      <c r="AC37" s="5">
        <f>AC24</f>
        <v>4</v>
      </c>
      <c r="AD37" s="33">
        <f>SUM(AD24:AE24)</f>
        <v>4</v>
      </c>
      <c r="AE37" s="188">
        <f>AD37-AC37</f>
        <v>0</v>
      </c>
      <c r="AF37" s="31"/>
      <c r="AG37" s="5">
        <f>MAX(AC37,AD37)</f>
        <v>4</v>
      </c>
      <c r="AH37" s="5">
        <f>AG37+$AH$39</f>
        <v>4.4000000000000004</v>
      </c>
      <c r="AI37" t="str">
        <f>IF(AE37&lt;0,"Shortfall:",IF(AE37&gt;0,"Surplus: ",""))&amp;CHAR(10)&amp;TEXT((AE37),"+#,##0;-#,##0;0")&amp;" units"</f>
        <v xml:space="preserve">
0 units</v>
      </c>
    </row>
    <row r="38" spans="3:39">
      <c r="AA38" s="7" t="s">
        <v>2831</v>
      </c>
      <c r="AB38" s="164" t="s">
        <v>1273</v>
      </c>
      <c r="AC38" s="5">
        <f>SUM(AC25:AC26)</f>
        <v>8</v>
      </c>
      <c r="AD38" s="33">
        <f>SUM(AD25:AE25)</f>
        <v>0</v>
      </c>
      <c r="AE38" s="188">
        <f>AD38-AC38</f>
        <v>-8</v>
      </c>
      <c r="AF38" s="31"/>
      <c r="AG38" s="5">
        <f>MAX(AC38,AD38)</f>
        <v>8</v>
      </c>
      <c r="AH38" s="5">
        <f>AG38+$AH$39</f>
        <v>8.4</v>
      </c>
      <c r="AI38" t="str">
        <f>IF(AE38&lt;0,"Shortfall:",IF(AE38&gt;0,"Surplus: ",""))&amp;CHAR(10)&amp;TEXT((AE38),"+#,##0;-#,##0;0")&amp;" units"</f>
        <v>Shortfall:
-8 units</v>
      </c>
    </row>
    <row r="39" spans="3:39">
      <c r="AA39" s="28" t="s">
        <v>2725</v>
      </c>
      <c r="AC39" s="5">
        <f>AC27</f>
        <v>10</v>
      </c>
      <c r="AD39" s="33">
        <f>SUM(AD27:AE27)</f>
        <v>18</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Farmington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0</v>
      </c>
      <c r="AD55" s="1">
        <v>4</v>
      </c>
      <c r="AE55" s="1">
        <v>0</v>
      </c>
    </row>
    <row r="56" spans="27:39">
      <c r="AA56" s="7" t="s">
        <v>2828</v>
      </c>
      <c r="AB56" s="31" t="s">
        <v>1271</v>
      </c>
      <c r="AC56" s="1">
        <v>0</v>
      </c>
      <c r="AD56" s="1">
        <v>4</v>
      </c>
      <c r="AE56" s="1">
        <v>4</v>
      </c>
    </row>
    <row r="57" spans="27:39">
      <c r="AA57" s="7" t="s">
        <v>2829</v>
      </c>
      <c r="AB57" s="31" t="s">
        <v>1272</v>
      </c>
      <c r="AC57" s="1">
        <v>4</v>
      </c>
      <c r="AD57" s="1">
        <v>0</v>
      </c>
      <c r="AE57" s="1">
        <v>0</v>
      </c>
    </row>
    <row r="58" spans="27:39">
      <c r="AA58" s="7" t="s">
        <v>2831</v>
      </c>
      <c r="AB58" s="31" t="s">
        <v>1273</v>
      </c>
      <c r="AC58" s="1">
        <v>4</v>
      </c>
      <c r="AD58" s="1">
        <v>0</v>
      </c>
      <c r="AE58" s="1">
        <v>0</v>
      </c>
    </row>
    <row r="59" spans="27:39">
      <c r="AA59" s="28" t="s">
        <v>2725</v>
      </c>
      <c r="AB59" s="31"/>
      <c r="AC59" s="1">
        <v>4</v>
      </c>
      <c r="AD59" s="1"/>
      <c r="AE59" s="1"/>
    </row>
    <row r="60" spans="27:39">
      <c r="AA60" s="7" t="s">
        <v>2</v>
      </c>
      <c r="AB60" s="31"/>
      <c r="AC60" s="2">
        <v>4</v>
      </c>
      <c r="AD60" s="2">
        <v>4</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0</v>
      </c>
      <c r="AD65" s="33">
        <f>SUM(AD55:AE55)</f>
        <v>4</v>
      </c>
      <c r="AE65" s="97">
        <f>AD65-AC65</f>
        <v>4</v>
      </c>
      <c r="AF65" s="31"/>
      <c r="AG65" s="5">
        <f>MAX(AC65,AD65)</f>
        <v>4</v>
      </c>
      <c r="AH65" s="5">
        <f>AG65+$AH$39</f>
        <v>4.4000000000000004</v>
      </c>
      <c r="AI65" t="str">
        <f>IF(AE65&lt;0,"Shortfall:",IF(AE65&gt;0,"Surplus: ",""))&amp;CHAR(10)&amp;TEXT((AE65),"+#,##0;-#,##0;0")&amp;" units"</f>
        <v>Surplus: 
+4 units</v>
      </c>
      <c r="AK65" s="31"/>
      <c r="AL65" s="31"/>
      <c r="AM65" s="31"/>
    </row>
    <row r="66" spans="3:39">
      <c r="AA66" s="7"/>
      <c r="AB66" s="31" t="s">
        <v>1271</v>
      </c>
      <c r="AC66" s="5">
        <f>SUM(AC56)</f>
        <v>0</v>
      </c>
      <c r="AD66" s="33">
        <f>SUM(AD56:AE56)</f>
        <v>8</v>
      </c>
      <c r="AE66" s="97">
        <f>AD66-AC66</f>
        <v>8</v>
      </c>
      <c r="AF66" s="31"/>
      <c r="AG66" s="5">
        <f>MAX(AC66,AD66)</f>
        <v>8</v>
      </c>
      <c r="AH66" s="5">
        <f>AG66+$AH$39</f>
        <v>8.4</v>
      </c>
      <c r="AI66" t="str">
        <f>IF(AE66&lt;0,"Shortfall:",IF(AE66&gt;0,"Surplus: ",""))&amp;CHAR(10)&amp;TEXT((AE66),"+#,##0;-#,##0;0")&amp;" units"</f>
        <v>Surplus: 
+8 units</v>
      </c>
      <c r="AK66" s="31"/>
      <c r="AL66" s="31"/>
      <c r="AM66" s="31"/>
    </row>
    <row r="67" spans="3:39">
      <c r="AA67" s="7"/>
      <c r="AB67" s="31" t="s">
        <v>1272</v>
      </c>
      <c r="AC67" s="5">
        <f>SUM(AC57)</f>
        <v>4</v>
      </c>
      <c r="AD67" s="33">
        <f>SUM(AD57:AE57)</f>
        <v>0</v>
      </c>
      <c r="AE67" s="97">
        <f>AD67-AC67</f>
        <v>-4</v>
      </c>
      <c r="AF67" s="31"/>
      <c r="AG67" s="5">
        <f>MAX(AC67,AD67)</f>
        <v>4</v>
      </c>
      <c r="AH67" s="5">
        <f>AG67+$AH$39</f>
        <v>4.4000000000000004</v>
      </c>
      <c r="AI67" t="str">
        <f>IF(AE67&lt;0,"Shortfall:",IF(AE67&gt;0,"Surplus: ",""))&amp;CHAR(10)&amp;TEXT((AE67),"+#,##0;-#,##0;0")&amp;" units"</f>
        <v>Shortfall:
-4 units</v>
      </c>
      <c r="AK67" s="31"/>
      <c r="AL67" s="31"/>
      <c r="AM67" s="31"/>
    </row>
    <row r="68" spans="3:39" ht="18.75" customHeight="1">
      <c r="D68" s="200"/>
      <c r="E68" s="200"/>
      <c r="F68" s="200"/>
      <c r="G68" s="200"/>
      <c r="H68" s="200"/>
      <c r="I68" s="200"/>
      <c r="J68" s="200"/>
      <c r="K68" s="200"/>
      <c r="L68" s="200"/>
      <c r="AA68" s="7"/>
      <c r="AB68" s="31" t="s">
        <v>1273</v>
      </c>
      <c r="AC68" s="5">
        <f>SUM(AC58:AC59)</f>
        <v>8</v>
      </c>
      <c r="AD68" s="33">
        <f>SUM(AD58:AE58)</f>
        <v>0</v>
      </c>
      <c r="AE68" s="97">
        <f>AD68-AC68</f>
        <v>-8</v>
      </c>
      <c r="AF68" s="31"/>
      <c r="AG68" s="5">
        <f>MAX(AC68,AD68)</f>
        <v>8</v>
      </c>
      <c r="AH68" s="5">
        <f>AG68+$AH$39</f>
        <v>8.4</v>
      </c>
      <c r="AI68" t="str">
        <f>IF(AE68&lt;0,"Shortfall:",IF(AE68&gt;0,"Surplus: ",""))&amp;CHAR(10)&amp;TEXT((AE68),"+#,##0;-#,##0;0")&amp;" units"</f>
        <v>Shortfall:
-8 units</v>
      </c>
      <c r="AK68" s="31"/>
      <c r="AL68" s="31"/>
      <c r="AM68" s="31"/>
    </row>
    <row r="69" spans="3:39" ht="18.75" customHeight="1">
      <c r="C69" s="200"/>
      <c r="D69" s="200"/>
      <c r="E69" s="200"/>
      <c r="F69" s="200"/>
      <c r="G69" s="200"/>
      <c r="H69" s="200"/>
      <c r="I69" s="200"/>
      <c r="J69" s="200"/>
      <c r="K69" s="200"/>
      <c r="L69" s="200"/>
      <c r="AA69" s="7"/>
      <c r="AB69" s="31"/>
      <c r="AC69" s="5">
        <f>AC60</f>
        <v>4</v>
      </c>
      <c r="AD69" s="33">
        <f>SUM(AD60:AE60)</f>
        <v>8</v>
      </c>
      <c r="AE69" s="33"/>
      <c r="AF69" s="31"/>
      <c r="AG69" s="59" t="s">
        <v>2682</v>
      </c>
      <c r="AH69" s="109">
        <f>0.1*MAX(AC65:AC68)</f>
        <v>0.8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Farmington five year change in renter households by income and rental units by affordability, 2014 - 2019</v>
      </c>
      <c r="D78" s="340"/>
      <c r="E78" s="340"/>
      <c r="F78" s="340"/>
      <c r="G78" s="340"/>
      <c r="H78" s="340"/>
      <c r="I78" s="340"/>
      <c r="J78" s="340"/>
      <c r="K78" s="340"/>
      <c r="L78" s="340"/>
      <c r="AB78" s="31" t="s">
        <v>1270</v>
      </c>
      <c r="AC78" s="5">
        <f t="shared" ref="AC78:AD80" si="10">AC35-AC65</f>
        <v>4</v>
      </c>
      <c r="AD78" s="5">
        <f t="shared" si="10"/>
        <v>6</v>
      </c>
      <c r="AE78" s="5">
        <f>AD78-AC78</f>
        <v>2</v>
      </c>
      <c r="AG78" s="5">
        <f>MAX(AC78,AD78)</f>
        <v>6</v>
      </c>
      <c r="AH78" s="5">
        <f>MAX(AG78,0)+$AH$82</f>
        <v>6.8</v>
      </c>
      <c r="AI78" t="str">
        <f>"Difference:"&amp;CHAR(10)&amp;TEXT(AE78,"+#,##0;-#,##0;0")&amp;" units"</f>
        <v>Difference:
+2 units</v>
      </c>
    </row>
    <row r="79" spans="3:39" ht="18" customHeight="1">
      <c r="C79" s="340"/>
      <c r="D79" s="340"/>
      <c r="E79" s="340"/>
      <c r="F79" s="340"/>
      <c r="G79" s="340"/>
      <c r="H79" s="340"/>
      <c r="I79" s="340"/>
      <c r="J79" s="340"/>
      <c r="K79" s="340"/>
      <c r="L79" s="340"/>
      <c r="AB79" s="31" t="s">
        <v>1271</v>
      </c>
      <c r="AC79" s="5">
        <f t="shared" si="10"/>
        <v>0</v>
      </c>
      <c r="AD79" s="5">
        <f t="shared" si="10"/>
        <v>-4</v>
      </c>
      <c r="AE79" s="5">
        <f>AD79-AC79</f>
        <v>-4</v>
      </c>
      <c r="AG79" s="5">
        <f>MAX(AC79,AD79)</f>
        <v>0</v>
      </c>
      <c r="AH79" s="5">
        <f>MAX(AG79,0)+$AH$82</f>
        <v>0.8</v>
      </c>
      <c r="AI79" t="str">
        <f>"Difference:"&amp;CHAR(10)&amp;TEXT(AE79,"+#,##0;-#,##0;0")&amp;" units"</f>
        <v>Difference:
-4 units</v>
      </c>
    </row>
    <row r="80" spans="3:39" ht="18">
      <c r="C80" s="192"/>
      <c r="D80" s="192"/>
      <c r="E80" s="192"/>
      <c r="F80" s="192"/>
      <c r="G80" s="192"/>
      <c r="H80" s="192"/>
      <c r="I80" s="192"/>
      <c r="J80" s="192"/>
      <c r="K80" s="192"/>
      <c r="L80" s="192"/>
      <c r="AB80" s="31" t="s">
        <v>1272</v>
      </c>
      <c r="AC80" s="5">
        <f t="shared" si="10"/>
        <v>0</v>
      </c>
      <c r="AD80" s="5">
        <f t="shared" si="10"/>
        <v>4</v>
      </c>
      <c r="AE80" s="5">
        <f>AD80-AC80</f>
        <v>4</v>
      </c>
      <c r="AG80" s="5">
        <f>MAX(AC80,AD80)</f>
        <v>4</v>
      </c>
      <c r="AH80" s="5">
        <f>MAX(AG80,0)+$AH$82</f>
        <v>4.8</v>
      </c>
      <c r="AI80" t="str">
        <f>"Difference:"&amp;CHAR(10)&amp;TEXT(AE80,"+#,##0;-#,##0;0")&amp;" units"</f>
        <v>Difference:
+4 units</v>
      </c>
    </row>
    <row r="81" spans="28:35">
      <c r="AB81" s="31" t="s">
        <v>1273</v>
      </c>
      <c r="AC81" s="5">
        <f>AC39-AC68</f>
        <v>2</v>
      </c>
      <c r="AD81" s="5">
        <f>AD39-AD68</f>
        <v>18</v>
      </c>
      <c r="AE81" s="5">
        <f>AD81-AC81</f>
        <v>16</v>
      </c>
      <c r="AG81" s="5">
        <f>MAX(AC81,AD81)</f>
        <v>18</v>
      </c>
      <c r="AH81" s="5">
        <f>MAX(AG81,0)+$AH$82</f>
        <v>18.8</v>
      </c>
      <c r="AI81" t="str">
        <f>"Difference:"&amp;CHAR(10)&amp;TEXT(AE81,"+#,##0;-#,##0;0")&amp;" units"</f>
        <v>Difference:
+16 units</v>
      </c>
    </row>
    <row r="82" spans="28:35" ht="13.9" customHeight="1">
      <c r="AG82" s="59" t="s">
        <v>2682</v>
      </c>
      <c r="AH82" s="109">
        <f>0.2*MAX(AB78:AC81)</f>
        <v>0.8</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Farmington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Farmington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12</v>
      </c>
      <c r="I14" s="230">
        <f>J14-SUM(C14:H14)</f>
        <v>0</v>
      </c>
      <c r="J14" s="182">
        <f>AI101</f>
        <v>12</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v>
      </c>
      <c r="I15" s="230">
        <f t="shared" ref="I15:I18" si="1">J15-SUM(C15:H15)</f>
        <v>0</v>
      </c>
      <c r="J15" s="182">
        <f>AI102</f>
        <v>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8</v>
      </c>
      <c r="I16" s="230">
        <f t="shared" si="1"/>
        <v>0</v>
      </c>
      <c r="J16" s="182">
        <f>AI103</f>
        <v>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12</v>
      </c>
      <c r="I17" s="230">
        <f t="shared" si="1"/>
        <v>0</v>
      </c>
      <c r="J17" s="182">
        <f>AI104</f>
        <v>12</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29</v>
      </c>
      <c r="I18" s="231">
        <f t="shared" si="1"/>
        <v>0</v>
      </c>
      <c r="J18" s="207">
        <f>AI105</f>
        <v>29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0</v>
      </c>
      <c r="H19" s="228">
        <f t="shared" si="2"/>
        <v>65</v>
      </c>
      <c r="I19" s="232">
        <f t="shared" si="2"/>
        <v>0</v>
      </c>
      <c r="J19" s="228">
        <f>AI49+AI94</f>
        <v>61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Farmington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0</v>
      </c>
      <c r="AH39" s="174"/>
      <c r="AI39" s="174">
        <v>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4</v>
      </c>
      <c r="AR45" s="174">
        <v>4</v>
      </c>
      <c r="AS45" s="174">
        <v>0</v>
      </c>
      <c r="AT45" s="174">
        <v>4</v>
      </c>
      <c r="AU45" s="86">
        <f t="shared" si="4"/>
        <v>4</v>
      </c>
      <c r="AV45" s="86"/>
      <c r="AZ45" s="19"/>
      <c r="BA45" s="19"/>
      <c r="BB45" s="19"/>
      <c r="BC45" s="19"/>
      <c r="BD45" s="19"/>
    </row>
    <row r="46" spans="27:60" ht="18" customHeight="1">
      <c r="AA46" s="60"/>
      <c r="AB46" s="174">
        <v>0</v>
      </c>
      <c r="AC46" s="174">
        <v>0</v>
      </c>
      <c r="AD46" s="174">
        <v>0</v>
      </c>
      <c r="AE46" s="174">
        <v>0</v>
      </c>
      <c r="AF46" s="174">
        <v>0</v>
      </c>
      <c r="AG46" s="174">
        <v>25</v>
      </c>
      <c r="AH46" s="174"/>
      <c r="AI46" s="174">
        <v>25</v>
      </c>
      <c r="AJ46" s="86">
        <f>(SUM(AB46:AH46))-AI46</f>
        <v>0</v>
      </c>
      <c r="AM46" s="174">
        <v>0</v>
      </c>
      <c r="AN46" s="174">
        <v>0</v>
      </c>
      <c r="AO46" s="174">
        <v>0</v>
      </c>
      <c r="AP46" s="174">
        <v>0</v>
      </c>
      <c r="AQ46" s="174">
        <v>0</v>
      </c>
      <c r="AR46" s="174">
        <v>15</v>
      </c>
      <c r="AS46" s="174">
        <v>0</v>
      </c>
      <c r="AT46" s="174">
        <v>15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49</v>
      </c>
      <c r="AH48" s="86">
        <f t="shared" si="5"/>
        <v>0</v>
      </c>
      <c r="AI48" s="86">
        <f t="shared" ref="AI48" si="6">SUM(AI33:AI47)</f>
        <v>49</v>
      </c>
      <c r="AJ48" s="86"/>
      <c r="AZ48" s="19"/>
      <c r="BA48" s="19"/>
      <c r="BB48" s="19"/>
      <c r="BC48" s="19"/>
      <c r="BD48" s="19"/>
    </row>
    <row r="49" spans="2:56" ht="13.9" customHeight="1">
      <c r="AA49" s="171" t="s">
        <v>2786</v>
      </c>
      <c r="AI49" s="227">
        <v>45</v>
      </c>
      <c r="AJ49" s="86">
        <f>SUM(AJ33:AJ46)</f>
        <v>0</v>
      </c>
      <c r="AL49" s="171" t="s">
        <v>2774</v>
      </c>
      <c r="AT49" s="174">
        <v>35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4</v>
      </c>
      <c r="AH53" s="86">
        <f t="shared" si="11"/>
        <v>0</v>
      </c>
      <c r="AI53" s="86">
        <f t="shared" si="11"/>
        <v>4</v>
      </c>
      <c r="AL53" s="60" t="s">
        <v>1978</v>
      </c>
      <c r="AM53" s="86">
        <f t="shared" ref="AM53:AR53" si="12">SUM(AM39:AM41)</f>
        <v>0</v>
      </c>
      <c r="AN53" s="86">
        <f t="shared" si="12"/>
        <v>0</v>
      </c>
      <c r="AO53" s="86">
        <f t="shared" si="12"/>
        <v>0</v>
      </c>
      <c r="AP53" s="86">
        <f t="shared" si="12"/>
        <v>0</v>
      </c>
      <c r="AQ53" s="86">
        <f t="shared" si="12"/>
        <v>0</v>
      </c>
      <c r="AR53" s="86">
        <f t="shared" si="12"/>
        <v>10</v>
      </c>
      <c r="AS53" s="5">
        <f>SUM(AS39:AS41)</f>
        <v>0</v>
      </c>
      <c r="AT53" s="86">
        <f>SUM(AT39:AT41)</f>
        <v>10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8</v>
      </c>
      <c r="AH54" s="86">
        <f t="shared" si="13"/>
        <v>0</v>
      </c>
      <c r="AI54" s="86">
        <f t="shared" si="13"/>
        <v>8</v>
      </c>
      <c r="AL54" s="60" t="s">
        <v>1979</v>
      </c>
      <c r="AM54" s="86">
        <f t="shared" ref="AM54:AR54" si="14">SUM(AM42:AM44)</f>
        <v>0</v>
      </c>
      <c r="AN54" s="86">
        <f t="shared" si="14"/>
        <v>0</v>
      </c>
      <c r="AO54" s="86">
        <f t="shared" si="14"/>
        <v>0</v>
      </c>
      <c r="AP54" s="86">
        <f t="shared" si="14"/>
        <v>0</v>
      </c>
      <c r="AQ54" s="86">
        <f t="shared" si="14"/>
        <v>0</v>
      </c>
      <c r="AR54" s="86">
        <f t="shared" si="14"/>
        <v>4</v>
      </c>
      <c r="AS54" s="5">
        <f>SUM(AS42:AS44)</f>
        <v>0</v>
      </c>
      <c r="AT54" s="86">
        <f>SUM(AT42:AT44)</f>
        <v>4</v>
      </c>
      <c r="AZ54" s="19"/>
      <c r="BA54" s="19"/>
      <c r="BB54" s="19"/>
      <c r="BC54" s="19"/>
      <c r="BD54" s="19"/>
    </row>
    <row r="55" spans="2:56" ht="16.5" customHeight="1">
      <c r="B55" s="360" t="str">
        <f>"Chart 13a. "&amp;City_label&amp;" number of households by income category and race, 2019"</f>
        <v>Chart 13a. Farmington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25</v>
      </c>
      <c r="AH55" s="86">
        <f t="shared" si="15"/>
        <v>0</v>
      </c>
      <c r="AI55" s="86">
        <f t="shared" si="15"/>
        <v>25</v>
      </c>
      <c r="AL55" s="60" t="s">
        <v>1897</v>
      </c>
      <c r="AM55" s="86">
        <f t="shared" ref="AM55:AR55" si="16">SUM(AM45:AM47)</f>
        <v>0</v>
      </c>
      <c r="AN55" s="86">
        <f t="shared" si="16"/>
        <v>0</v>
      </c>
      <c r="AO55" s="86">
        <f t="shared" si="16"/>
        <v>0</v>
      </c>
      <c r="AP55" s="86">
        <f t="shared" si="16"/>
        <v>0</v>
      </c>
      <c r="AQ55" s="86">
        <f t="shared" si="16"/>
        <v>4</v>
      </c>
      <c r="AR55" s="86">
        <f t="shared" si="16"/>
        <v>19</v>
      </c>
      <c r="AS55" s="5">
        <f>SUM(AS45:AS47)</f>
        <v>0</v>
      </c>
      <c r="AT55" s="86">
        <f>SUM(AT45:AT47)</f>
        <v>19</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49</v>
      </c>
      <c r="AH56" s="128">
        <f t="shared" si="17"/>
        <v>0</v>
      </c>
      <c r="AI56" s="128">
        <f t="shared" si="17"/>
        <v>49</v>
      </c>
      <c r="AJ56" s="86"/>
      <c r="AL56" s="163" t="s">
        <v>2841</v>
      </c>
      <c r="AM56" s="128">
        <f t="shared" ref="AM56:AT56" si="18">SUM(AM51:AM55)</f>
        <v>0</v>
      </c>
      <c r="AN56" s="128">
        <f t="shared" si="18"/>
        <v>0</v>
      </c>
      <c r="AO56" s="128">
        <f t="shared" si="18"/>
        <v>0</v>
      </c>
      <c r="AP56" s="128">
        <f t="shared" si="18"/>
        <v>0</v>
      </c>
      <c r="AQ56" s="128">
        <f t="shared" si="18"/>
        <v>4</v>
      </c>
      <c r="AR56" s="128">
        <f t="shared" si="18"/>
        <v>45</v>
      </c>
      <c r="AS56" s="246">
        <f>SUM(AS51:AS55)</f>
        <v>0</v>
      </c>
      <c r="AT56" s="128">
        <f t="shared" si="18"/>
        <v>45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Farmington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16</v>
      </c>
      <c r="AH94" s="128"/>
      <c r="AI94" s="128">
        <f>SUM(AI89:AI93)</f>
        <v>16</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60" t="str">
        <f>"Chart 14a. "&amp;City_label&amp;" distribution of households by income and race or ethnicity, 2019"</f>
        <v>Chart 14a. Farmington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12</v>
      </c>
      <c r="AH101" s="244">
        <f t="shared" ref="AH101:AH105" si="31">AI101-SUM(AB101:AG101)</f>
        <v>0</v>
      </c>
      <c r="AI101" s="147">
        <f t="shared" ref="AI101:AI106" si="32">SUM(AI51,AI89)</f>
        <v>12</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v>
      </c>
      <c r="AH102" s="244">
        <f t="shared" si="31"/>
        <v>0</v>
      </c>
      <c r="AI102" s="147">
        <f t="shared" si="32"/>
        <v>4</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8</v>
      </c>
      <c r="AH103" s="244">
        <f t="shared" si="31"/>
        <v>0</v>
      </c>
      <c r="AI103" s="147">
        <f t="shared" si="32"/>
        <v>8</v>
      </c>
      <c r="AJ103" s="86"/>
      <c r="AL103" s="163" t="s">
        <v>2841</v>
      </c>
      <c r="AM103" s="128">
        <f t="shared" ref="AM103:AT103" si="41">SUM(AM98:AM102)</f>
        <v>0</v>
      </c>
      <c r="AN103" s="128">
        <f t="shared" si="41"/>
        <v>0</v>
      </c>
      <c r="AO103" s="128">
        <f t="shared" si="41"/>
        <v>0</v>
      </c>
      <c r="AP103" s="128">
        <f t="shared" si="41"/>
        <v>0</v>
      </c>
      <c r="AQ103" s="128">
        <f t="shared" si="41"/>
        <v>0</v>
      </c>
      <c r="AR103" s="128">
        <f t="shared" si="41"/>
        <v>12</v>
      </c>
      <c r="AS103" s="128">
        <f t="shared" si="41"/>
        <v>0</v>
      </c>
      <c r="AT103" s="128">
        <f t="shared" si="41"/>
        <v>12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12</v>
      </c>
      <c r="AH104" s="244">
        <f t="shared" si="31"/>
        <v>0</v>
      </c>
      <c r="AI104" s="147">
        <f t="shared" si="32"/>
        <v>12</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29</v>
      </c>
      <c r="AH105" s="244">
        <f t="shared" si="31"/>
        <v>0</v>
      </c>
      <c r="AI105" s="147">
        <f t="shared" si="32"/>
        <v>29</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0</v>
      </c>
      <c r="AG106" s="177">
        <f>SUM(AG56,AG94)</f>
        <v>65</v>
      </c>
      <c r="AH106" s="114">
        <f>SUM(AH101:AH105)</f>
        <v>0</v>
      </c>
      <c r="AI106" s="177">
        <f t="shared" si="32"/>
        <v>65</v>
      </c>
      <c r="AJ106" s="86"/>
      <c r="AL106" s="7"/>
      <c r="AM106" s="7"/>
      <c r="AN106" s="7"/>
      <c r="AO106" s="7"/>
      <c r="AP106" s="7"/>
      <c r="AQ106" s="7"/>
      <c r="AR106" s="7"/>
      <c r="AS106" s="7"/>
      <c r="AT106" s="7"/>
      <c r="AU106" s="7"/>
      <c r="AV106" s="7"/>
    </row>
    <row r="107" spans="2:56" ht="18" customHeight="1">
      <c r="Z107" s="90"/>
      <c r="AA107" s="175" t="s">
        <v>2789</v>
      </c>
      <c r="AI107" s="174">
        <v>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8</v>
      </c>
      <c r="AS109" s="245">
        <f t="shared" si="45"/>
        <v>0</v>
      </c>
      <c r="AT109" s="147">
        <f t="shared" si="45"/>
        <v>8</v>
      </c>
    </row>
    <row r="110" spans="2:56" ht="18" customHeight="1">
      <c r="AA110" s="60" t="s">
        <v>2762</v>
      </c>
      <c r="AB110" s="135">
        <f>IFERROR(AC101/AC$106,"0"%)</f>
        <v>0</v>
      </c>
      <c r="AC110" s="135">
        <f>IFERROR(AD101/AD$106,"0"%)</f>
        <v>0</v>
      </c>
      <c r="AD110" s="135">
        <f>IFERROR(AE101/AE$106, "0"%)</f>
        <v>0</v>
      </c>
      <c r="AE110" s="135">
        <f>IFERROR(AF101/AF$106, "0"%)</f>
        <v>0</v>
      </c>
      <c r="AF110" s="135">
        <f>IFERROR(AG101/AG$106, "0"%)</f>
        <v>0.18461538461538463</v>
      </c>
      <c r="AG110" s="135">
        <f>IFERROR(AI101/AI$106,"0"%)</f>
        <v>0.18461538461538463</v>
      </c>
      <c r="AH110" s="135"/>
      <c r="AL110" s="60" t="s">
        <v>1977</v>
      </c>
      <c r="AM110" s="147">
        <f t="shared" si="42"/>
        <v>0</v>
      </c>
      <c r="AN110" s="147">
        <f t="shared" si="43"/>
        <v>0</v>
      </c>
      <c r="AO110" s="147">
        <f t="shared" si="44"/>
        <v>0</v>
      </c>
      <c r="AP110" s="147">
        <f t="shared" si="45"/>
        <v>0</v>
      </c>
      <c r="AQ110" s="147">
        <f t="shared" si="45"/>
        <v>0</v>
      </c>
      <c r="AR110" s="147">
        <f t="shared" si="45"/>
        <v>4</v>
      </c>
      <c r="AS110" s="245">
        <f t="shared" si="45"/>
        <v>0</v>
      </c>
      <c r="AT110" s="147">
        <f t="shared" si="45"/>
        <v>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6.1538461538461542E-2</v>
      </c>
      <c r="AG111" s="135">
        <f t="shared" ref="AG111:AG114" si="48">IFERROR(AI102/AI$106,"0"%)</f>
        <v>6.1538461538461542E-2</v>
      </c>
      <c r="AH111" s="135"/>
      <c r="AL111" s="60" t="s">
        <v>1978</v>
      </c>
      <c r="AM111" s="147">
        <f t="shared" si="42"/>
        <v>0</v>
      </c>
      <c r="AN111" s="147">
        <f t="shared" si="43"/>
        <v>0</v>
      </c>
      <c r="AO111" s="147">
        <f t="shared" si="44"/>
        <v>0</v>
      </c>
      <c r="AP111" s="147">
        <f t="shared" si="45"/>
        <v>0</v>
      </c>
      <c r="AQ111" s="147">
        <f t="shared" si="45"/>
        <v>0</v>
      </c>
      <c r="AR111" s="147">
        <f t="shared" si="45"/>
        <v>14</v>
      </c>
      <c r="AS111" s="245">
        <f t="shared" si="45"/>
        <v>0</v>
      </c>
      <c r="AT111" s="147">
        <f t="shared" si="45"/>
        <v>14</v>
      </c>
    </row>
    <row r="112" spans="2:56" ht="18" customHeight="1">
      <c r="AA112" s="60" t="s">
        <v>1978</v>
      </c>
      <c r="AB112" s="135">
        <f t="shared" si="46"/>
        <v>0</v>
      </c>
      <c r="AC112" s="135">
        <f t="shared" si="46"/>
        <v>0</v>
      </c>
      <c r="AD112" s="135">
        <f t="shared" si="47"/>
        <v>0</v>
      </c>
      <c r="AE112" s="135">
        <f t="shared" si="47"/>
        <v>0</v>
      </c>
      <c r="AF112" s="135">
        <f t="shared" si="47"/>
        <v>0.12307692307692308</v>
      </c>
      <c r="AG112" s="135">
        <f t="shared" si="48"/>
        <v>0.12307692307692308</v>
      </c>
      <c r="AH112" s="135"/>
      <c r="AL112" s="60" t="s">
        <v>1979</v>
      </c>
      <c r="AM112" s="147">
        <f t="shared" si="42"/>
        <v>0</v>
      </c>
      <c r="AN112" s="147">
        <f t="shared" si="43"/>
        <v>0</v>
      </c>
      <c r="AO112" s="147">
        <f t="shared" si="44"/>
        <v>0</v>
      </c>
      <c r="AP112" s="147">
        <f t="shared" si="45"/>
        <v>0</v>
      </c>
      <c r="AQ112" s="147">
        <f t="shared" si="45"/>
        <v>0</v>
      </c>
      <c r="AR112" s="147">
        <f t="shared" si="45"/>
        <v>8</v>
      </c>
      <c r="AS112" s="245">
        <f t="shared" si="45"/>
        <v>0</v>
      </c>
      <c r="AT112" s="147">
        <f t="shared" si="45"/>
        <v>8</v>
      </c>
    </row>
    <row r="113" spans="2:48" ht="18" customHeight="1">
      <c r="AA113" s="60" t="s">
        <v>1979</v>
      </c>
      <c r="AB113" s="135">
        <f t="shared" si="46"/>
        <v>0</v>
      </c>
      <c r="AC113" s="135">
        <f t="shared" si="46"/>
        <v>0</v>
      </c>
      <c r="AD113" s="135">
        <f t="shared" si="47"/>
        <v>0</v>
      </c>
      <c r="AE113" s="135">
        <f t="shared" si="47"/>
        <v>0</v>
      </c>
      <c r="AF113" s="135">
        <f t="shared" si="47"/>
        <v>0.18461538461538463</v>
      </c>
      <c r="AG113" s="135">
        <f t="shared" si="48"/>
        <v>0.18461538461538463</v>
      </c>
      <c r="AH113" s="135"/>
      <c r="AL113" s="60" t="s">
        <v>1897</v>
      </c>
      <c r="AM113" s="147">
        <f t="shared" si="42"/>
        <v>0</v>
      </c>
      <c r="AN113" s="147">
        <f t="shared" si="43"/>
        <v>0</v>
      </c>
      <c r="AO113" s="147">
        <f t="shared" si="44"/>
        <v>0</v>
      </c>
      <c r="AP113" s="147">
        <f t="shared" si="45"/>
        <v>0</v>
      </c>
      <c r="AQ113" s="147">
        <f t="shared" si="45"/>
        <v>4</v>
      </c>
      <c r="AR113" s="147">
        <f t="shared" si="45"/>
        <v>23</v>
      </c>
      <c r="AS113" s="245">
        <f t="shared" si="45"/>
        <v>0</v>
      </c>
      <c r="AT113" s="147">
        <f t="shared" si="45"/>
        <v>23</v>
      </c>
    </row>
    <row r="114" spans="2:48" ht="18" customHeight="1">
      <c r="AA114" s="60" t="s">
        <v>1897</v>
      </c>
      <c r="AB114" s="135">
        <f t="shared" si="46"/>
        <v>0</v>
      </c>
      <c r="AC114" s="135">
        <f t="shared" si="46"/>
        <v>0</v>
      </c>
      <c r="AD114" s="135">
        <f t="shared" si="47"/>
        <v>0</v>
      </c>
      <c r="AE114" s="135">
        <f t="shared" si="47"/>
        <v>0</v>
      </c>
      <c r="AF114" s="135">
        <f t="shared" si="47"/>
        <v>0.44615384615384618</v>
      </c>
      <c r="AG114" s="135">
        <f t="shared" si="48"/>
        <v>0.44615384615384618</v>
      </c>
      <c r="AH114" s="135"/>
      <c r="AL114" s="127" t="s">
        <v>3</v>
      </c>
      <c r="AM114" s="177">
        <f t="shared" si="42"/>
        <v>0</v>
      </c>
      <c r="AN114" s="177">
        <f t="shared" si="43"/>
        <v>0</v>
      </c>
      <c r="AO114" s="177">
        <f t="shared" si="44"/>
        <v>0</v>
      </c>
      <c r="AP114" s="177">
        <f t="shared" si="45"/>
        <v>0</v>
      </c>
      <c r="AQ114" s="177">
        <f t="shared" si="45"/>
        <v>4</v>
      </c>
      <c r="AR114" s="177">
        <f t="shared" si="45"/>
        <v>57</v>
      </c>
      <c r="AS114" s="245">
        <f t="shared" si="45"/>
        <v>0</v>
      </c>
      <c r="AT114" s="177">
        <f t="shared" si="45"/>
        <v>57</v>
      </c>
    </row>
    <row r="115" spans="2:48" ht="13.9" customHeight="1">
      <c r="B115" s="333" t="s">
        <v>2764</v>
      </c>
      <c r="C115" s="333"/>
      <c r="D115" s="333"/>
      <c r="E115" s="333"/>
      <c r="F115" s="333"/>
      <c r="G115" s="333"/>
      <c r="H115" s="333"/>
      <c r="I115" s="333"/>
      <c r="AI115" s="88"/>
      <c r="AL115" s="169" t="s">
        <v>2766</v>
      </c>
      <c r="AS115" s="7"/>
      <c r="AT115" s="1">
        <v>40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0.13114754098360656</v>
      </c>
      <c r="AQ118" s="135">
        <f>AR109/AR$114</f>
        <v>0.14035087719298245</v>
      </c>
      <c r="AR118" s="135">
        <f>AT109/AT$114</f>
        <v>0.14035087719298245</v>
      </c>
    </row>
    <row r="119" spans="2:48" ht="21" customHeight="1">
      <c r="B119" s="359" t="str">
        <f>"Table 7. "&amp;City_label&amp;" five year change in households by income and race, 2014 - 2019"</f>
        <v>Table 7. Farmington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6.5573770491803282E-2</v>
      </c>
      <c r="AQ119" s="135">
        <f>AR110/AR$114</f>
        <v>7.0175438596491224E-2</v>
      </c>
      <c r="AR119" s="135">
        <f>AT110/AT$114</f>
        <v>7.0175438596491224E-2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0.22950819672131148</v>
      </c>
      <c r="AQ120" s="135">
        <f>AR111/AR$114</f>
        <v>0.24561403508771928</v>
      </c>
      <c r="AR120" s="135">
        <f>AT111/AT$114</f>
        <v>0.24561403508771928</v>
      </c>
    </row>
    <row r="121" spans="2:48" ht="13.9" customHeight="1" thickBot="1">
      <c r="AA121" s="60" t="s">
        <v>1983</v>
      </c>
      <c r="AB121" s="86">
        <f>AE101</f>
        <v>0</v>
      </c>
      <c r="AC121" s="86">
        <f>SUM(AB101:AD101,AF101,AH101)</f>
        <v>0</v>
      </c>
      <c r="AD121" s="86">
        <f>AG101</f>
        <v>12</v>
      </c>
      <c r="AF121" s="135" t="e">
        <f>AB121/$AB$126</f>
        <v>#DIV/0!</v>
      </c>
      <c r="AG121" s="135" t="e">
        <f>AC121/$AC$126</f>
        <v>#DIV/0!</v>
      </c>
      <c r="AH121" s="135">
        <f>AD121/$AD$126</f>
        <v>0.18461538461538463</v>
      </c>
      <c r="AL121" s="60" t="s">
        <v>1979</v>
      </c>
      <c r="AM121" s="135" t="e">
        <f t="shared" si="49"/>
        <v>#DIV/0!</v>
      </c>
      <c r="AN121" s="135" t="e">
        <f t="shared" si="49"/>
        <v>#DIV/0!</v>
      </c>
      <c r="AO121" s="135" t="e">
        <f t="shared" si="49"/>
        <v>#DIV/0!</v>
      </c>
      <c r="AP121" s="135">
        <f>SUM(AP112:AQ112:AS112)/SUM(AP$114:AQ$114:AS$114)</f>
        <v>0.13114754098360656</v>
      </c>
      <c r="AQ121" s="135">
        <f>AR112/AR$114</f>
        <v>0.14035087719298245</v>
      </c>
      <c r="AR121" s="135">
        <f>AT112/AT$114</f>
        <v>0.14035087719298245</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4</v>
      </c>
      <c r="AF122" s="135" t="e">
        <f>AB122/$AB$126</f>
        <v>#DIV/0!</v>
      </c>
      <c r="AG122" s="135" t="e">
        <f>AC122/$AC$126</f>
        <v>#DIV/0!</v>
      </c>
      <c r="AH122" s="135">
        <f>AD122/$AD$126</f>
        <v>6.1538461538461542E-2</v>
      </c>
      <c r="AL122" s="60" t="s">
        <v>1897</v>
      </c>
      <c r="AM122" s="284" t="e">
        <f t="shared" si="49"/>
        <v>#DIV/0!</v>
      </c>
      <c r="AN122" s="284" t="e">
        <f t="shared" si="49"/>
        <v>#DIV/0!</v>
      </c>
      <c r="AO122" s="284" t="e">
        <f t="shared" si="49"/>
        <v>#DIV/0!</v>
      </c>
      <c r="AP122" s="284">
        <f>SUM(AP113:AQ113:AS113)/SUM(AP$114:AQ$114:AS$114)</f>
        <v>0.44262295081967212</v>
      </c>
      <c r="AQ122" s="284">
        <f>AR113/AR$114</f>
        <v>0.40350877192982454</v>
      </c>
      <c r="AR122" s="284">
        <f>AT113/AT$114</f>
        <v>0.40350877192982454</v>
      </c>
      <c r="AV122" s="7"/>
    </row>
    <row r="123" spans="2:48" ht="19.5" customHeight="1">
      <c r="B123" s="357"/>
      <c r="C123" s="354"/>
      <c r="D123" s="354"/>
      <c r="E123" s="354"/>
      <c r="F123" s="354"/>
      <c r="G123" s="354"/>
      <c r="H123" s="354"/>
      <c r="AA123" s="60" t="s">
        <v>1978</v>
      </c>
      <c r="AB123" s="86">
        <f>AE103</f>
        <v>0</v>
      </c>
      <c r="AC123" s="86">
        <f t="shared" si="50"/>
        <v>0</v>
      </c>
      <c r="AD123" s="86">
        <f>AG103</f>
        <v>8</v>
      </c>
      <c r="AF123" s="135" t="e">
        <f>AB123/$AB$126</f>
        <v>#DIV/0!</v>
      </c>
      <c r="AG123" s="135" t="e">
        <f>AC123/$AC$126</f>
        <v>#DIV/0!</v>
      </c>
      <c r="AH123" s="135">
        <f>AD123/$AD$126</f>
        <v>0.12307692307692308</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12</v>
      </c>
      <c r="AF124" s="135" t="e">
        <f>AB124/$AB$126</f>
        <v>#DIV/0!</v>
      </c>
      <c r="AG124" s="135" t="e">
        <f>AC124/$AC$126</f>
        <v>#DIV/0!</v>
      </c>
      <c r="AH124" s="135">
        <f>AD124/$AD$126</f>
        <v>0.18461538461538463</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29</v>
      </c>
      <c r="AE125" s="288"/>
      <c r="AF125" s="284" t="e">
        <f>AB125/$AB$126</f>
        <v>#DIV/0!</v>
      </c>
      <c r="AG125" s="284" t="e">
        <f>AC125/$AC$126</f>
        <v>#DIV/0!</v>
      </c>
      <c r="AH125" s="284">
        <f>AD125/$AD$126</f>
        <v>0.44615384615384618</v>
      </c>
      <c r="AS125" s="88"/>
      <c r="AV125" s="7"/>
    </row>
    <row r="126" spans="2:48" ht="21" customHeight="1">
      <c r="B126" s="43">
        <v>2015</v>
      </c>
      <c r="C126" s="236">
        <f>AT109</f>
        <v>8</v>
      </c>
      <c r="D126" s="237">
        <f>AT110</f>
        <v>4</v>
      </c>
      <c r="E126" s="237">
        <f>AT111</f>
        <v>14</v>
      </c>
      <c r="F126" s="237">
        <f>AT112</f>
        <v>8</v>
      </c>
      <c r="G126" s="237">
        <f>AT113</f>
        <v>23</v>
      </c>
      <c r="H126" s="237">
        <f>AT114</f>
        <v>57</v>
      </c>
      <c r="AA126" s="85" t="s">
        <v>1</v>
      </c>
      <c r="AB126" s="128">
        <f>SUM(AB121:AB125)</f>
        <v>0</v>
      </c>
      <c r="AC126" s="128">
        <f>SUM(AC121:AC125)</f>
        <v>0</v>
      </c>
      <c r="AD126" s="128">
        <f>SUM(AD121:AD125)</f>
        <v>65</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12</v>
      </c>
      <c r="D127" s="237">
        <f>AI102</f>
        <v>4</v>
      </c>
      <c r="E127" s="237">
        <f>AI103</f>
        <v>8</v>
      </c>
      <c r="F127" s="237">
        <f>AI104</f>
        <v>12</v>
      </c>
      <c r="G127" s="237">
        <f>AI105</f>
        <v>29</v>
      </c>
      <c r="H127" s="237">
        <f>AI106</f>
        <v>65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4</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v>
      </c>
      <c r="D141" s="237">
        <f>AR110</f>
        <v>4</v>
      </c>
      <c r="E141" s="237">
        <f>AR111</f>
        <v>14</v>
      </c>
      <c r="F141" s="237">
        <f>AR112</f>
        <v>8</v>
      </c>
      <c r="G141" s="237">
        <f>AR113</f>
        <v>23</v>
      </c>
      <c r="H141" s="237">
        <f>AR114</f>
        <v>57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v>
      </c>
      <c r="D142" s="241">
        <f>AG102</f>
        <v>4</v>
      </c>
      <c r="E142" s="241">
        <f>AG103</f>
        <v>8</v>
      </c>
      <c r="F142" s="241">
        <f>AG104</f>
        <v>12</v>
      </c>
      <c r="G142" s="241">
        <f>AG105</f>
        <v>29</v>
      </c>
      <c r="H142" s="241">
        <f>AG106</f>
        <v>65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Farmington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0.14035087719298245</v>
      </c>
      <c r="D152" s="267">
        <f t="shared" ref="D152:F153" si="53">IFERROR(D126/$H126,"0"%)</f>
        <v>7.0175438596491224E-2</v>
      </c>
      <c r="E152" s="267">
        <f t="shared" si="53"/>
        <v>0.24561403508771928</v>
      </c>
      <c r="F152" s="267">
        <f t="shared" si="53"/>
        <v>0.14035087719298245</v>
      </c>
      <c r="G152" s="267">
        <f>G126/$H126</f>
        <v>0.40350877192982454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0.18461538461538463</v>
      </c>
      <c r="D153" s="267">
        <f t="shared" si="53"/>
        <v>6.1538461538461542E-2</v>
      </c>
      <c r="E153" s="267">
        <f t="shared" si="53"/>
        <v>0.12307692307692308</v>
      </c>
      <c r="F153" s="267">
        <f t="shared" si="53"/>
        <v>0.18461538461538463</v>
      </c>
      <c r="G153" s="267">
        <f>G127/$H127</f>
        <v>0.44615384615384618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0.14035087719298245</v>
      </c>
      <c r="D167" s="267">
        <f t="shared" si="58"/>
        <v>7.0175438596491224E-2</v>
      </c>
      <c r="E167" s="267">
        <f t="shared" si="58"/>
        <v>0.24561403508771928</v>
      </c>
      <c r="F167" s="267">
        <f t="shared" si="58"/>
        <v>0.14035087719298245</v>
      </c>
      <c r="G167" s="267">
        <f t="shared" si="58"/>
        <v>0.40350877192982454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0.18461538461538463</v>
      </c>
      <c r="D168" s="267">
        <f t="shared" si="58"/>
        <v>6.1538461538461542E-2</v>
      </c>
      <c r="E168" s="267">
        <f t="shared" si="58"/>
        <v>0.12307692307692308</v>
      </c>
      <c r="F168" s="267">
        <f t="shared" si="58"/>
        <v>0.18461538461538463</v>
      </c>
      <c r="G168" s="267">
        <f t="shared" si="58"/>
        <v>0.44615384615384618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Farmington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Farmington count of owner and renter households by racial group, 2019</v>
      </c>
      <c r="C5" s="303"/>
      <c r="D5" s="303"/>
      <c r="E5" s="303"/>
      <c r="F5" s="303"/>
      <c r="G5" s="303"/>
      <c r="H5" s="303"/>
      <c r="I5" s="303"/>
      <c r="J5" s="303"/>
      <c r="K5" s="303"/>
      <c r="X5" s="16" t="s">
        <v>2702</v>
      </c>
      <c r="Y5" s="297" t="str">
        <f>City</f>
        <v>Farmington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Farmington</v>
      </c>
      <c r="F8" s="257"/>
      <c r="G8" s="256"/>
      <c r="H8" s="65" t="str">
        <f>City_label</f>
        <v>Farmington</v>
      </c>
      <c r="I8" s="257"/>
      <c r="J8" s="65" t="str">
        <f>County_label</f>
        <v>Whitman County</v>
      </c>
      <c r="K8" s="257"/>
      <c r="X8" s="62" t="str">
        <f>City</f>
        <v>Farmington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0.19178082191780821</v>
      </c>
      <c r="K14" s="254">
        <f>AB77/AB51</f>
        <v>0.80821917808219179</v>
      </c>
      <c r="X14" s="33" t="s">
        <v>2852</v>
      </c>
      <c r="Y14" s="37">
        <f t="shared" ref="Y14:AE14" si="2">SUM(Y29,Y40)</f>
        <v>0</v>
      </c>
      <c r="Z14" s="37">
        <f t="shared" si="2"/>
        <v>0</v>
      </c>
      <c r="AA14" s="37">
        <f t="shared" si="2"/>
        <v>0</v>
      </c>
      <c r="AB14" s="37">
        <f t="shared" si="2"/>
        <v>0</v>
      </c>
      <c r="AC14" s="37">
        <f t="shared" si="2"/>
        <v>0</v>
      </c>
      <c r="AD14" s="37">
        <f t="shared" si="2"/>
        <v>0</v>
      </c>
      <c r="AE14" s="37">
        <f t="shared" si="2"/>
        <v>55</v>
      </c>
      <c r="AF14" s="2">
        <v>60</v>
      </c>
      <c r="AG14" s="5"/>
      <c r="AH14" t="s">
        <v>5</v>
      </c>
      <c r="AI14" s="5">
        <f>AI25</f>
        <v>0</v>
      </c>
      <c r="AJ14" s="5">
        <f t="shared" ref="AJ14:AO14" si="3">AJ25</f>
        <v>0</v>
      </c>
      <c r="AK14" s="5">
        <f t="shared" si="3"/>
        <v>0</v>
      </c>
      <c r="AL14" s="5">
        <f t="shared" si="3"/>
        <v>0</v>
      </c>
      <c r="AM14" s="5">
        <f t="shared" si="3"/>
        <v>0</v>
      </c>
      <c r="AN14" s="5">
        <f t="shared" si="3"/>
        <v>45</v>
      </c>
      <c r="AO14" s="5">
        <f t="shared" si="3"/>
        <v>45</v>
      </c>
      <c r="AP14" s="37"/>
      <c r="AQ14" s="37"/>
      <c r="AR14" s="5"/>
    </row>
    <row r="15" spans="2:57">
      <c r="B15" s="29" t="s">
        <v>2706</v>
      </c>
      <c r="C15" s="29"/>
      <c r="E15" s="253">
        <f>AC29</f>
        <v>0</v>
      </c>
      <c r="F15" s="253">
        <f>AC40</f>
        <v>0</v>
      </c>
      <c r="G15" s="29"/>
      <c r="H15" s="254" t="str">
        <f t="shared" si="1"/>
        <v>0%</v>
      </c>
      <c r="I15" s="254" t="str">
        <f t="shared" si="0"/>
        <v>0%</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10</v>
      </c>
      <c r="AO15" s="5">
        <f t="shared" si="4"/>
        <v>10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55</v>
      </c>
      <c r="AG16" s="5"/>
      <c r="AH16" s="34" t="s">
        <v>1</v>
      </c>
      <c r="AI16" s="34">
        <f>Z14</f>
        <v>0</v>
      </c>
      <c r="AJ16" s="34">
        <f>AA14</f>
        <v>0</v>
      </c>
      <c r="AK16" s="37">
        <f>AB14</f>
        <v>0</v>
      </c>
      <c r="AL16" s="37">
        <f>SUM(Y14, AC14:AD14)</f>
        <v>0</v>
      </c>
      <c r="AM16" s="37">
        <f>SUM(Y14:AA14,AC14:AD14)</f>
        <v>0</v>
      </c>
      <c r="AN16" s="37">
        <f>AE14</f>
        <v>55</v>
      </c>
      <c r="AO16" s="37">
        <f>AF14</f>
        <v>60</v>
      </c>
      <c r="AP16" s="5"/>
    </row>
    <row r="17" spans="2:42">
      <c r="B17" s="29" t="s">
        <v>2672</v>
      </c>
      <c r="C17" s="29"/>
      <c r="E17" s="281">
        <f>AE29</f>
        <v>45</v>
      </c>
      <c r="F17" s="281">
        <f>AE40</f>
        <v>10</v>
      </c>
      <c r="G17" s="70"/>
      <c r="H17" s="282">
        <f t="shared" si="1"/>
        <v>0.81818181818181823</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45</v>
      </c>
      <c r="F18" s="258">
        <f>AF40</f>
        <v>10</v>
      </c>
      <c r="G18" s="247"/>
      <c r="H18" s="259">
        <f t="shared" si="1"/>
        <v>0.81818181818181823</v>
      </c>
      <c r="I18" s="259">
        <f t="shared" si="0"/>
        <v>1</v>
      </c>
      <c r="J18" s="259">
        <f>AF66/AF51</f>
        <v>0.43638888888888888</v>
      </c>
      <c r="K18" s="259">
        <f>AF77/AF51</f>
        <v>0.56361111111111106</v>
      </c>
      <c r="AE18" s="59" t="s">
        <v>2852</v>
      </c>
      <c r="AF18" s="112" t="s">
        <v>2235</v>
      </c>
      <c r="AG18" s="5"/>
      <c r="AH18" t="s">
        <v>5</v>
      </c>
      <c r="AI18" s="6" t="e">
        <f>AI14/AI$16</f>
        <v>#DIV/0!</v>
      </c>
      <c r="AJ18" s="6" t="e">
        <f t="shared" ref="AJ18:AO18" si="5">AJ14/AJ$16</f>
        <v>#DIV/0!</v>
      </c>
      <c r="AK18" s="6" t="e">
        <f t="shared" si="5"/>
        <v>#DIV/0!</v>
      </c>
      <c r="AL18" s="6" t="e">
        <f t="shared" si="5"/>
        <v>#DIV/0!</v>
      </c>
      <c r="AM18" s="6" t="e">
        <f t="shared" si="5"/>
        <v>#DIV/0!</v>
      </c>
      <c r="AN18" s="6">
        <f t="shared" si="5"/>
        <v>0.81818181818181823</v>
      </c>
      <c r="AO18" s="6">
        <f t="shared" si="5"/>
        <v>0.75</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t="e">
        <f t="shared" si="6"/>
        <v>#DIV/0!</v>
      </c>
      <c r="AL19" s="6" t="e">
        <f t="shared" si="6"/>
        <v>#DIV/0!</v>
      </c>
      <c r="AM19" s="6" t="e">
        <f t="shared" si="6"/>
        <v>#DIV/0!</v>
      </c>
      <c r="AN19" s="6">
        <f t="shared" si="6"/>
        <v>0.18181818181818182</v>
      </c>
      <c r="AO19" s="6">
        <f t="shared" si="6"/>
        <v>0.16666666666666666</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t="e">
        <f t="shared" si="7"/>
        <v>#DIV/0!</v>
      </c>
      <c r="AL20" s="6" t="e">
        <f t="shared" si="7"/>
        <v>#DIV/0!</v>
      </c>
      <c r="AM20" s="6" t="e">
        <f t="shared" si="7"/>
        <v>#DIV/0!</v>
      </c>
      <c r="AN20" s="6">
        <f t="shared" si="7"/>
        <v>1</v>
      </c>
      <c r="AO20" s="6">
        <f t="shared" si="7"/>
        <v>0.91666666666666663</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Farmington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45</v>
      </c>
      <c r="AO25" s="37">
        <f>AF29</f>
        <v>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0</v>
      </c>
      <c r="AD29" s="2">
        <v>0</v>
      </c>
      <c r="AE29" s="2">
        <v>45</v>
      </c>
      <c r="AF29" s="2">
        <v>45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10</v>
      </c>
      <c r="AO36" s="37">
        <f>AF40</f>
        <v>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10</v>
      </c>
      <c r="AF40" s="2">
        <v>10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Farmington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Farmington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Farmington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08070d79-41db-40ac-93d9-3fd8f1a76dba"/>
    <ds:schemaRef ds:uri="8556b74b-f608-4f00-b474-15eeb07aa725"/>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