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#REF!</definedName>
    <definedName name="WA_Counties_Range">#REF!</definedName>
    <definedName name="WA_places">#REF!</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Y6" i="286" l="1"/>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J15" i="283" l="1"/>
  <c r="AC69" i="284"/>
  <c r="AD66" i="284"/>
  <c r="AJ37" i="297"/>
  <c r="K15" i="283"/>
  <c r="AD69" i="284"/>
  <c r="AJ39" i="297"/>
  <c r="AK15" i="284"/>
  <c r="AJ40" i="297"/>
  <c r="AC67" i="284"/>
  <c r="AE67" i="284" s="1"/>
  <c r="AI67" i="284" s="1"/>
  <c r="AJ42" i="297"/>
  <c r="AD38" i="284"/>
  <c r="AC66" i="284"/>
  <c r="AJ43" i="297"/>
  <c r="AN15" i="284"/>
  <c r="K22" i="283"/>
  <c r="AD37" i="284"/>
  <c r="AD65" i="284"/>
  <c r="AG65" i="284" s="1"/>
  <c r="AJ45" i="297"/>
  <c r="F16" i="286"/>
  <c r="AO16" i="286"/>
  <c r="J22" i="283"/>
  <c r="AD36" i="284"/>
  <c r="AD79" i="284" s="1"/>
  <c r="AD68" i="284"/>
  <c r="AJ46" i="297"/>
  <c r="AJ34" i="297"/>
  <c r="F15" i="286"/>
  <c r="AC65" i="284"/>
  <c r="AD67" i="284"/>
  <c r="AJ33" i="297"/>
  <c r="AJ36" i="297"/>
  <c r="AJ23" i="283"/>
  <c r="AA31" i="283"/>
  <c r="AK23" i="283" s="1"/>
  <c r="T36" i="283"/>
  <c r="F11" i="283" s="1"/>
  <c r="T11" i="283"/>
  <c r="AJ11" i="283" s="1"/>
  <c r="F12" i="283"/>
  <c r="AL26" i="282"/>
  <c r="AN16" i="282"/>
  <c r="L11" i="282"/>
  <c r="AC89" i="297"/>
  <c r="AR100" i="297"/>
  <c r="AN100" i="297"/>
  <c r="U104" i="283"/>
  <c r="U107" i="283"/>
  <c r="AM71" i="282"/>
  <c r="AG60" i="282"/>
  <c r="AH60" i="282" s="1"/>
  <c r="V108" i="283"/>
  <c r="AF29" i="282"/>
  <c r="H10" i="282"/>
  <c r="AH15" i="282"/>
  <c r="AI15" i="282" s="1"/>
  <c r="AP54" i="297"/>
  <c r="AG34" i="283"/>
  <c r="Z56" i="283"/>
  <c r="L19" i="283"/>
  <c r="AN51" i="297"/>
  <c r="X80" i="283"/>
  <c r="X83" i="283"/>
  <c r="K21" i="283"/>
  <c r="AS53" i="297"/>
  <c r="X109" i="283"/>
  <c r="AM74" i="282"/>
  <c r="AN74" i="282" s="1"/>
  <c r="AO102" i="297"/>
  <c r="AG13" i="282"/>
  <c r="AG39" i="282" s="1"/>
  <c r="G17" i="282"/>
  <c r="AE30" i="282"/>
  <c r="AE39" i="282"/>
  <c r="AU33" i="297"/>
  <c r="AT51" i="297"/>
  <c r="AO52" i="297"/>
  <c r="K10" i="283"/>
  <c r="Y10" i="283"/>
  <c r="T110" i="283"/>
  <c r="AU35" i="297"/>
  <c r="AU91" i="297"/>
  <c r="AP53" i="297"/>
  <c r="AO55" i="297"/>
  <c r="AS51" i="297"/>
  <c r="AQ99" i="297"/>
  <c r="AU36" i="297"/>
  <c r="AT52" i="297"/>
  <c r="AN99" i="297"/>
  <c r="V110" i="283"/>
  <c r="W36" i="283"/>
  <c r="I11" i="283" s="1"/>
  <c r="W11" i="283"/>
  <c r="AH23" i="283"/>
  <c r="I12" i="283"/>
  <c r="AA30" i="283"/>
  <c r="AK22" i="283" s="1"/>
  <c r="T10" i="283"/>
  <c r="AJ10" i="283" s="1"/>
  <c r="F10" i="283"/>
  <c r="AJ22" i="283"/>
  <c r="AH35" i="283"/>
  <c r="I20" i="283"/>
  <c r="AJ24" i="283"/>
  <c r="AA32" i="283"/>
  <c r="F13" i="283"/>
  <c r="T12" i="283"/>
  <c r="AJ12" i="283" s="1"/>
  <c r="AF92" i="297"/>
  <c r="AP100" i="297"/>
  <c r="U108" i="283"/>
  <c r="Z108" i="283"/>
  <c r="AD91" i="297"/>
  <c r="AQ53" i="297"/>
  <c r="AC91" i="297"/>
  <c r="AF89" i="297"/>
  <c r="AH13" i="282"/>
  <c r="H17" i="282"/>
  <c r="I17" i="282" s="1"/>
  <c r="AF30" i="282"/>
  <c r="AF39" i="282"/>
  <c r="J14" i="283"/>
  <c r="X13" i="283"/>
  <c r="AF38" i="282"/>
  <c r="AF27" i="282"/>
  <c r="H12" i="282"/>
  <c r="AH14" i="282"/>
  <c r="AS52" i="297"/>
  <c r="AF26" i="282"/>
  <c r="H11" i="282"/>
  <c r="AH16" i="282"/>
  <c r="AI16" i="282" s="1"/>
  <c r="AS55" i="297"/>
  <c r="AU81" i="297"/>
  <c r="AH22" i="283"/>
  <c r="I10" i="283"/>
  <c r="W10" i="283"/>
  <c r="AP51" i="297"/>
  <c r="AF36" i="283"/>
  <c r="AI36" i="283"/>
  <c r="G21" i="283"/>
  <c r="V86" i="283"/>
  <c r="J21" i="283"/>
  <c r="AN102" i="297"/>
  <c r="G16" i="282"/>
  <c r="AG19" i="282"/>
  <c r="V80" i="283"/>
  <c r="V83" i="283"/>
  <c r="Z104" i="283"/>
  <c r="Z107" i="283"/>
  <c r="W85" i="283"/>
  <c r="AG93" i="297"/>
  <c r="Z86" i="283"/>
  <c r="AP102" i="297"/>
  <c r="AJ81" i="297"/>
  <c r="AT98" i="297"/>
  <c r="AU80" i="297"/>
  <c r="AG90" i="297"/>
  <c r="AU85" i="297"/>
  <c r="AU82" i="297"/>
  <c r="AU88" i="297"/>
  <c r="AN13" i="284"/>
  <c r="AJ77" i="297"/>
  <c r="AH17" i="282"/>
  <c r="AI17" i="282" s="1"/>
  <c r="H14" i="282"/>
  <c r="AJ35" i="283"/>
  <c r="AA52" i="283"/>
  <c r="F20" i="283"/>
  <c r="AM101" i="297"/>
  <c r="AR101" i="297"/>
  <c r="H10" i="283"/>
  <c r="AE22" i="283"/>
  <c r="V10" i="283"/>
  <c r="AE10" i="283" s="1"/>
  <c r="AN14" i="282"/>
  <c r="AN38" i="282" s="1"/>
  <c r="L12" i="282"/>
  <c r="AL38" i="282"/>
  <c r="AL27" i="282"/>
  <c r="AN55" i="297"/>
  <c r="AG54" i="282"/>
  <c r="AB92" i="297"/>
  <c r="AE29" i="282"/>
  <c r="AG15" i="282"/>
  <c r="G10" i="282"/>
  <c r="AP101" i="297"/>
  <c r="AG89" i="297"/>
  <c r="Z84" i="283"/>
  <c r="AM54" i="282"/>
  <c r="AH24" i="283"/>
  <c r="W12" i="283"/>
  <c r="I13" i="283"/>
  <c r="Z85" i="283"/>
  <c r="K16" i="282"/>
  <c r="AM19" i="282"/>
  <c r="AG73" i="282"/>
  <c r="Y83" i="283"/>
  <c r="Y80" i="283"/>
  <c r="AJ85" i="297"/>
  <c r="AM51" i="297"/>
  <c r="AG59" i="282"/>
  <c r="AH59" i="282" s="1"/>
  <c r="AU44" i="297"/>
  <c r="AG25" i="283"/>
  <c r="L14" i="283"/>
  <c r="Z13" i="283"/>
  <c r="AM57" i="282"/>
  <c r="V85" i="283"/>
  <c r="AM69" i="282"/>
  <c r="AE23" i="283"/>
  <c r="V36" i="283"/>
  <c r="H11" i="283" s="1"/>
  <c r="H12" i="283"/>
  <c r="V11" i="283"/>
  <c r="AE11" i="283" s="1"/>
  <c r="AU84" i="297"/>
  <c r="AO54" i="297"/>
  <c r="AQ54" i="297"/>
  <c r="K20" i="283"/>
  <c r="AE35" i="283"/>
  <c r="H20" i="283"/>
  <c r="AA53" i="283"/>
  <c r="AJ36" i="283"/>
  <c r="F21" i="283"/>
  <c r="AC35" i="284"/>
  <c r="AK12" i="284"/>
  <c r="I11" i="284"/>
  <c r="F11" i="284"/>
  <c r="AG24" i="283"/>
  <c r="Z12" i="283"/>
  <c r="L13" i="283"/>
  <c r="AG35" i="283"/>
  <c r="L20" i="283"/>
  <c r="AP99" i="297"/>
  <c r="AP55" i="297"/>
  <c r="AD93" i="297"/>
  <c r="AE90" i="297"/>
  <c r="AQ51" i="297"/>
  <c r="AE27" i="282"/>
  <c r="AE38" i="282"/>
  <c r="AG14" i="282"/>
  <c r="G12" i="282"/>
  <c r="I12" i="282" s="1"/>
  <c r="W104" i="283"/>
  <c r="W107" i="283"/>
  <c r="G14" i="283"/>
  <c r="AF25" i="283"/>
  <c r="AI25" i="283"/>
  <c r="U13" i="283"/>
  <c r="Z109" i="283"/>
  <c r="AE93" i="297"/>
  <c r="V107" i="283"/>
  <c r="V104" i="283"/>
  <c r="AS54" i="297"/>
  <c r="AU37" i="297"/>
  <c r="AO98" i="297"/>
  <c r="J17" i="283"/>
  <c r="AA50" i="283"/>
  <c r="F17" i="283"/>
  <c r="AJ33" i="283"/>
  <c r="AG57" i="282"/>
  <c r="AF90" i="297"/>
  <c r="AB91" i="297"/>
  <c r="L10" i="283"/>
  <c r="Z10" i="283"/>
  <c r="AG22" i="283"/>
  <c r="AU89" i="297"/>
  <c r="AT101" i="297"/>
  <c r="I19" i="283"/>
  <c r="AH34" i="283"/>
  <c r="W56" i="283"/>
  <c r="AM102" i="297"/>
  <c r="AC93" i="297"/>
  <c r="AO100" i="297"/>
  <c r="AG52" i="282"/>
  <c r="AH52" i="282" s="1"/>
  <c r="AM67" i="282"/>
  <c r="AN67" i="282" s="1"/>
  <c r="G11" i="284"/>
  <c r="AN98" i="297"/>
  <c r="Y85" i="283"/>
  <c r="AE91" i="297"/>
  <c r="X107" i="283"/>
  <c r="X104" i="283"/>
  <c r="AU47" i="297"/>
  <c r="G13" i="283"/>
  <c r="U12" i="283"/>
  <c r="AF12" i="283" s="1"/>
  <c r="AF24" i="283"/>
  <c r="AI24" i="283"/>
  <c r="Y36" i="283"/>
  <c r="K11" i="283" s="1"/>
  <c r="K12" i="283"/>
  <c r="Y11" i="283"/>
  <c r="AF33" i="283"/>
  <c r="AI33" i="283"/>
  <c r="G17" i="283"/>
  <c r="AQ52" i="297"/>
  <c r="AQ110" i="297" s="1"/>
  <c r="U86" i="283"/>
  <c r="X110" i="283"/>
  <c r="AM68" i="282"/>
  <c r="AN68" i="282" s="1"/>
  <c r="AG91" i="297"/>
  <c r="J13" i="283"/>
  <c r="X12" i="283"/>
  <c r="V84" i="283"/>
  <c r="X85" i="283"/>
  <c r="W86" i="283"/>
  <c r="AK28" i="282"/>
  <c r="AM20" i="282"/>
  <c r="AM37" i="282" s="1"/>
  <c r="K13" i="282"/>
  <c r="AG74" i="282"/>
  <c r="AH74" i="282" s="1"/>
  <c r="AK37" i="282"/>
  <c r="U110" i="283"/>
  <c r="T109" i="283"/>
  <c r="AR102" i="297"/>
  <c r="AF93" i="297"/>
  <c r="AU34" i="297"/>
  <c r="X36" i="283"/>
  <c r="J11" i="283" s="1"/>
  <c r="J12" i="283"/>
  <c r="X11" i="283"/>
  <c r="Y86" i="283"/>
  <c r="AM55" i="297"/>
  <c r="K14" i="283"/>
  <c r="Y13" i="283"/>
  <c r="G14" i="284"/>
  <c r="AM75" i="282"/>
  <c r="AN75" i="282" s="1"/>
  <c r="J19" i="283"/>
  <c r="X56" i="283"/>
  <c r="J18" i="283" s="1"/>
  <c r="AM52" i="282"/>
  <c r="AN52" i="282" s="1"/>
  <c r="AC37" i="284"/>
  <c r="AE37" i="284" s="1"/>
  <c r="AI37" i="284" s="1"/>
  <c r="I13" i="284"/>
  <c r="F13" i="284"/>
  <c r="AK14" i="284"/>
  <c r="AD90" i="297"/>
  <c r="AR99" i="297"/>
  <c r="AU41" i="297"/>
  <c r="U84" i="283"/>
  <c r="AM53" i="297"/>
  <c r="AJ82" i="297"/>
  <c r="AI92" i="297"/>
  <c r="X108" i="283"/>
  <c r="G11" i="282"/>
  <c r="I11" i="282" s="1"/>
  <c r="AG16" i="282"/>
  <c r="AE26" i="282"/>
  <c r="AG53" i="282"/>
  <c r="AH53" i="282" s="1"/>
  <c r="AM18" i="282"/>
  <c r="K15" i="282"/>
  <c r="AG72" i="282"/>
  <c r="AD89" i="297"/>
  <c r="AN101" i="297"/>
  <c r="AF34" i="283"/>
  <c r="AI34" i="283"/>
  <c r="U56" i="283"/>
  <c r="AF39" i="283" s="1"/>
  <c r="G19" i="283"/>
  <c r="X10" i="283"/>
  <c r="J10" i="283"/>
  <c r="AM58" i="282"/>
  <c r="AG56" i="282"/>
  <c r="AU39" i="297"/>
  <c r="AT53" i="297"/>
  <c r="AE36" i="283"/>
  <c r="H21" i="283"/>
  <c r="W84" i="283"/>
  <c r="Z110" i="283"/>
  <c r="AU38" i="297"/>
  <c r="V109" i="283"/>
  <c r="AE34" i="283"/>
  <c r="V56" i="283"/>
  <c r="AE39" i="283" s="1"/>
  <c r="H19" i="283"/>
  <c r="AM72" i="282"/>
  <c r="W108" i="283"/>
  <c r="K11" i="284"/>
  <c r="AN12" i="284"/>
  <c r="AU87" i="297"/>
  <c r="AJ79" i="297"/>
  <c r="T108" i="283"/>
  <c r="AN17" i="282"/>
  <c r="L14" i="282"/>
  <c r="AM53" i="282"/>
  <c r="AN53" i="282" s="1"/>
  <c r="AH18" i="282"/>
  <c r="AI18" i="282" s="1"/>
  <c r="H15" i="282"/>
  <c r="AM14" i="282"/>
  <c r="AK27" i="282"/>
  <c r="K12" i="282"/>
  <c r="M12" i="282" s="1"/>
  <c r="AG68" i="282"/>
  <c r="AH68" i="282" s="1"/>
  <c r="AK38" i="282"/>
  <c r="Y12" i="283"/>
  <c r="K13" i="283"/>
  <c r="T84" i="283"/>
  <c r="AR51" i="297"/>
  <c r="AQ101" i="297"/>
  <c r="AP98" i="297"/>
  <c r="AB51" i="297"/>
  <c r="AB48" i="297"/>
  <c r="AR53" i="297"/>
  <c r="AU42" i="297"/>
  <c r="AT54" i="297"/>
  <c r="AI22" i="283"/>
  <c r="G10" i="283"/>
  <c r="U10" i="283"/>
  <c r="AF22" i="283"/>
  <c r="AF35" i="283"/>
  <c r="AI35" i="283"/>
  <c r="G20" i="283"/>
  <c r="T86" i="283"/>
  <c r="AM59" i="282"/>
  <c r="AN59" i="282" s="1"/>
  <c r="AJ25" i="283"/>
  <c r="F14" i="283"/>
  <c r="AA33" i="283"/>
  <c r="AA13" i="283" s="1"/>
  <c r="T13" i="283"/>
  <c r="AJ13" i="283" s="1"/>
  <c r="U85" i="283"/>
  <c r="AE33" i="283"/>
  <c r="H17" i="283"/>
  <c r="I15" i="284"/>
  <c r="F15" i="284"/>
  <c r="T80" i="283"/>
  <c r="T83" i="283"/>
  <c r="AM54" i="297"/>
  <c r="AN53" i="297"/>
  <c r="AK29" i="282"/>
  <c r="AG69" i="282"/>
  <c r="K10" i="282"/>
  <c r="AM15" i="282"/>
  <c r="AC36" i="284"/>
  <c r="F12" i="284"/>
  <c r="AK13" i="284"/>
  <c r="I12" i="284"/>
  <c r="AU45" i="297"/>
  <c r="AT55" i="297"/>
  <c r="AQ102" i="297"/>
  <c r="I17" i="283"/>
  <c r="AH33" i="283"/>
  <c r="AO53" i="297"/>
  <c r="AN14" i="284"/>
  <c r="Z80" i="283"/>
  <c r="Z83" i="283"/>
  <c r="AU40" i="297"/>
  <c r="AB89" i="297"/>
  <c r="Y84" i="283"/>
  <c r="AH36" i="283"/>
  <c r="I21" i="283"/>
  <c r="AJ83" i="297"/>
  <c r="AK30" i="282"/>
  <c r="K17" i="282"/>
  <c r="AG67" i="282"/>
  <c r="AH67" i="282" s="1"/>
  <c r="AK39" i="282"/>
  <c r="AM13" i="282"/>
  <c r="AM39" i="282" s="1"/>
  <c r="T104" i="283"/>
  <c r="T107" i="283"/>
  <c r="K15" i="284"/>
  <c r="AM70" i="282"/>
  <c r="AN70" i="282" s="1"/>
  <c r="AI90" i="297"/>
  <c r="AJ78" i="297"/>
  <c r="AR54" i="297"/>
  <c r="H16" i="282"/>
  <c r="AH19" i="282"/>
  <c r="AI19" i="282" s="1"/>
  <c r="AU93" i="297"/>
  <c r="AL37" i="282"/>
  <c r="L13" i="282"/>
  <c r="AL28" i="282"/>
  <c r="AN20" i="282"/>
  <c r="AN37" i="282" s="1"/>
  <c r="AU92" i="297"/>
  <c r="AT102" i="297"/>
  <c r="AM73" i="282"/>
  <c r="AR55" i="297"/>
  <c r="AG18" i="282"/>
  <c r="G15" i="282"/>
  <c r="K17" i="283"/>
  <c r="AG70" i="282"/>
  <c r="AH70" i="282" s="1"/>
  <c r="AK26" i="282"/>
  <c r="K11" i="282"/>
  <c r="AM16" i="282"/>
  <c r="AE25" i="283"/>
  <c r="V13" i="283"/>
  <c r="AE13" i="283" s="1"/>
  <c r="H14" i="283"/>
  <c r="AJ84" i="297"/>
  <c r="AI93" i="297"/>
  <c r="AT99" i="297"/>
  <c r="AU83" i="297"/>
  <c r="K19" i="283"/>
  <c r="Y56" i="283"/>
  <c r="K18" i="283" s="1"/>
  <c r="U80" i="283"/>
  <c r="U83" i="283"/>
  <c r="U109" i="283"/>
  <c r="AF91" i="297"/>
  <c r="Y104" i="283"/>
  <c r="Y107" i="283"/>
  <c r="AE92" i="297"/>
  <c r="K14" i="282"/>
  <c r="M14" i="282" s="1"/>
  <c r="AM17" i="282"/>
  <c r="AG71" i="282"/>
  <c r="AG36" i="283"/>
  <c r="L21" i="283"/>
  <c r="AB93" i="297"/>
  <c r="H13" i="282"/>
  <c r="AH20" i="282"/>
  <c r="AH37" i="282" s="1"/>
  <c r="AF37" i="282"/>
  <c r="AF28" i="282"/>
  <c r="AE24" i="283"/>
  <c r="V12" i="283"/>
  <c r="AE12" i="283" s="1"/>
  <c r="H13" i="283"/>
  <c r="AM98" i="297"/>
  <c r="AO101" i="297"/>
  <c r="G13" i="284"/>
  <c r="AQ55" i="297"/>
  <c r="AR98" i="297"/>
  <c r="Y108" i="283"/>
  <c r="AC38" i="284"/>
  <c r="AE38" i="284" s="1"/>
  <c r="AI38" i="284" s="1"/>
  <c r="I14" i="284"/>
  <c r="F14" i="284"/>
  <c r="AE89" i="297"/>
  <c r="AJ34" i="283"/>
  <c r="T56" i="283"/>
  <c r="T16" i="283" s="1"/>
  <c r="AA51" i="283"/>
  <c r="F19" i="283"/>
  <c r="AN19" i="282"/>
  <c r="L16" i="282"/>
  <c r="AN52" i="297"/>
  <c r="X84" i="283"/>
  <c r="AF23" i="283"/>
  <c r="AI23" i="283"/>
  <c r="U11" i="283"/>
  <c r="U36" i="283"/>
  <c r="G11" i="283" s="1"/>
  <c r="G12" i="283"/>
  <c r="AN54" i="297"/>
  <c r="AG23" i="283"/>
  <c r="L12" i="283"/>
  <c r="Z36" i="283"/>
  <c r="L11" i="283" s="1"/>
  <c r="Z11" i="283"/>
  <c r="AG11" i="283" s="1"/>
  <c r="AH25" i="283"/>
  <c r="W13" i="283"/>
  <c r="I14" i="283"/>
  <c r="AG58" i="282"/>
  <c r="W110" i="283"/>
  <c r="AG55" i="282"/>
  <c r="AH55" i="282" s="1"/>
  <c r="AM55" i="282"/>
  <c r="AN55" i="282" s="1"/>
  <c r="AI89" i="297"/>
  <c r="AJ76" i="297"/>
  <c r="AB90" i="297"/>
  <c r="X86" i="283"/>
  <c r="AO51" i="297"/>
  <c r="AN13" i="282"/>
  <c r="AN39" i="282" s="1"/>
  <c r="AL39" i="282"/>
  <c r="L17" i="282"/>
  <c r="AL30" i="282"/>
  <c r="AG75" i="282"/>
  <c r="AH75" i="282" s="1"/>
  <c r="AP52" i="297"/>
  <c r="AM52" i="297"/>
  <c r="J20" i="283"/>
  <c r="AU94" i="297"/>
  <c r="AU86" i="297"/>
  <c r="AT100" i="297"/>
  <c r="AG33" i="283"/>
  <c r="L17" i="283"/>
  <c r="AD92" i="297"/>
  <c r="AM100" i="297"/>
  <c r="AQ100" i="297"/>
  <c r="AR52" i="297"/>
  <c r="W109" i="283"/>
  <c r="AU46" i="297"/>
  <c r="AM60" i="282"/>
  <c r="AN60" i="282" s="1"/>
  <c r="W80" i="283"/>
  <c r="W83" i="283"/>
  <c r="AQ98" i="297"/>
  <c r="AL29" i="282"/>
  <c r="L10" i="282"/>
  <c r="M10" i="282" s="1"/>
  <c r="AN15" i="282"/>
  <c r="AC90" i="297"/>
  <c r="AU90" i="297"/>
  <c r="G13" i="282"/>
  <c r="AE37" i="282"/>
  <c r="AE40" i="282" s="1"/>
  <c r="AG20" i="282"/>
  <c r="AG37" i="282" s="1"/>
  <c r="AE28" i="282"/>
  <c r="AG17" i="282"/>
  <c r="AG38" i="282" s="1"/>
  <c r="G14" i="282"/>
  <c r="AJ80" i="297"/>
  <c r="AI91" i="297"/>
  <c r="L15" i="282"/>
  <c r="AN18" i="282"/>
  <c r="AO99" i="297"/>
  <c r="T85" i="283"/>
  <c r="G12" i="284"/>
  <c r="AC92" i="297"/>
  <c r="AU43" i="297"/>
  <c r="Y110" i="283"/>
  <c r="AG92" i="297"/>
  <c r="Y109" i="283"/>
  <c r="AM99" i="297"/>
  <c r="AM56" i="282"/>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D78" i="284" s="1"/>
  <c r="AC68" i="284"/>
  <c r="AI51" i="297"/>
  <c r="AI48" i="297"/>
  <c r="AG48" i="297"/>
  <c r="AG51" i="297"/>
  <c r="AF48" i="297"/>
  <c r="AF51" i="297"/>
  <c r="AE48" i="297"/>
  <c r="AE51" i="297"/>
  <c r="AD48" i="297"/>
  <c r="AD51" i="297"/>
  <c r="AC48" i="297"/>
  <c r="AC51" i="297"/>
  <c r="AI55" i="297"/>
  <c r="AG55" i="297"/>
  <c r="AF55" i="297"/>
  <c r="AB105" i="297" s="1"/>
  <c r="C18" i="297" s="1"/>
  <c r="AE55" i="297"/>
  <c r="AD55" i="297"/>
  <c r="AC55" i="297"/>
  <c r="AB55" i="297"/>
  <c r="AI54" i="297"/>
  <c r="AG54" i="297"/>
  <c r="AG104" i="297" s="1"/>
  <c r="AD124" i="297" s="1"/>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AO36" i="286"/>
  <c r="AO15" i="286" s="1"/>
  <c r="L11" i="284"/>
  <c r="L13" i="284"/>
  <c r="L14" i="284"/>
  <c r="L12" i="284"/>
  <c r="AO12" i="284"/>
  <c r="AO14" i="284"/>
  <c r="AO15" i="284"/>
  <c r="AO13" i="284"/>
  <c r="AF13" i="283"/>
  <c r="AG13" i="283"/>
  <c r="AF11" i="283"/>
  <c r="AG12" i="283"/>
  <c r="AA12" i="283"/>
  <c r="AK24" i="283"/>
  <c r="AA11" i="283"/>
  <c r="AE66" i="284"/>
  <c r="AI66" i="284" s="1"/>
  <c r="AF31" i="282"/>
  <c r="AH30" i="282" s="1"/>
  <c r="AC80" i="284"/>
  <c r="AC79" i="284"/>
  <c r="AD80" i="284"/>
  <c r="AM113" i="297"/>
  <c r="M15" i="282"/>
  <c r="AG67" i="284"/>
  <c r="I13" i="282"/>
  <c r="I10" i="282"/>
  <c r="AG66" i="284"/>
  <c r="I16" i="282"/>
  <c r="AF10" i="283"/>
  <c r="T14" i="283"/>
  <c r="AJ14" i="283" s="1"/>
  <c r="AK49" i="283" s="1"/>
  <c r="X16" i="283"/>
  <c r="M17" i="282"/>
  <c r="X14" i="283"/>
  <c r="X15" i="283" s="1"/>
  <c r="J23" i="283"/>
  <c r="AG10" i="283"/>
  <c r="AH69" i="284"/>
  <c r="I18" i="283"/>
  <c r="G18" i="283"/>
  <c r="AJ39" i="283"/>
  <c r="W16" i="283"/>
  <c r="V16" i="283"/>
  <c r="AG39" i="283"/>
  <c r="L18" i="283"/>
  <c r="Z16" i="283"/>
  <c r="AI20" i="282"/>
  <c r="AK40" i="282"/>
  <c r="AH39" i="282"/>
  <c r="AI39" i="282" s="1"/>
  <c r="AI13" i="282"/>
  <c r="AO19" i="286" l="1"/>
  <c r="AO18" i="286"/>
  <c r="H16" i="286"/>
  <c r="AP111" i="297"/>
  <c r="H15" i="286"/>
  <c r="AQ109" i="297"/>
  <c r="AR111" i="297"/>
  <c r="E141" i="297" s="1"/>
  <c r="AD105" i="297"/>
  <c r="G133" i="297" s="1"/>
  <c r="AN110" i="297"/>
  <c r="D132" i="297" s="1"/>
  <c r="AC103" i="297"/>
  <c r="AB104" i="297"/>
  <c r="C17" i="297" s="1"/>
  <c r="AT109" i="297"/>
  <c r="AF103" i="297"/>
  <c r="AQ111" i="297"/>
  <c r="AO112" i="297"/>
  <c r="F135" i="297" s="1"/>
  <c r="AO113" i="297"/>
  <c r="AP109" i="297"/>
  <c r="AI104" i="297"/>
  <c r="J17" i="297" s="1"/>
  <c r="AE103" i="297"/>
  <c r="AB123" i="297" s="1"/>
  <c r="AR112" i="297"/>
  <c r="AC78" i="284"/>
  <c r="AE102" i="297"/>
  <c r="AB122" i="297" s="1"/>
  <c r="AC104" i="297"/>
  <c r="D17" i="297" s="1"/>
  <c r="AO56" i="297"/>
  <c r="AG101" i="297"/>
  <c r="AD121" i="297" s="1"/>
  <c r="AR113" i="297"/>
  <c r="G141" i="297" s="1"/>
  <c r="AE65" i="284"/>
  <c r="AI65" i="284" s="1"/>
  <c r="AG37" i="284"/>
  <c r="AH37" i="284" s="1"/>
  <c r="AO111" i="297"/>
  <c r="E135" i="297" s="1"/>
  <c r="AG105" i="297"/>
  <c r="AD125" i="297" s="1"/>
  <c r="AP112" i="297"/>
  <c r="AP113" i="297"/>
  <c r="AG38" i="284"/>
  <c r="AH38" i="284" s="1"/>
  <c r="AE68" i="284"/>
  <c r="AI68" i="284" s="1"/>
  <c r="AH50" i="282"/>
  <c r="K23" i="283"/>
  <c r="AR103" i="297"/>
  <c r="AP56" i="297"/>
  <c r="AO109" i="297"/>
  <c r="AK35" i="283"/>
  <c r="AR109" i="297"/>
  <c r="C141" i="297" s="1"/>
  <c r="AH11" i="283"/>
  <c r="L23" i="283"/>
  <c r="AR110" i="297"/>
  <c r="AT110" i="297"/>
  <c r="AB101" i="297"/>
  <c r="C14" i="297" s="1"/>
  <c r="AD81" i="284"/>
  <c r="K11" i="286"/>
  <c r="AT113" i="297"/>
  <c r="G126" i="297" s="1"/>
  <c r="AT112" i="297"/>
  <c r="F126" i="297" s="1"/>
  <c r="AM112" i="297"/>
  <c r="F129" i="297" s="1"/>
  <c r="AG102" i="297"/>
  <c r="AD122" i="297" s="1"/>
  <c r="AO103" i="297"/>
  <c r="AN113" i="297"/>
  <c r="M12" i="283"/>
  <c r="AD104" i="297"/>
  <c r="F133" i="297" s="1"/>
  <c r="AG40" i="282"/>
  <c r="AB94" i="297"/>
  <c r="J13" i="286"/>
  <c r="AH13" i="283"/>
  <c r="J13" i="284"/>
  <c r="AI13" i="283"/>
  <c r="AK16" i="284"/>
  <c r="AL13" i="284"/>
  <c r="Y16" i="283"/>
  <c r="AH16" i="283" s="1"/>
  <c r="Z14" i="283"/>
  <c r="AG14" i="283" s="1"/>
  <c r="AG49" i="283" s="1"/>
  <c r="J185" i="283" s="1"/>
  <c r="U16" i="283"/>
  <c r="AT56" i="297"/>
  <c r="AK19" i="286"/>
  <c r="AD102" i="297"/>
  <c r="D133" i="297" s="1"/>
  <c r="AF104" i="297"/>
  <c r="G17" i="297" s="1"/>
  <c r="AE35" i="284"/>
  <c r="AI35" i="284" s="1"/>
  <c r="AE101" i="297"/>
  <c r="AB121" i="297" s="1"/>
  <c r="AS102" i="297"/>
  <c r="AS113" i="297" s="1"/>
  <c r="AM38" i="282"/>
  <c r="AM40" i="282" s="1"/>
  <c r="AN103" i="297"/>
  <c r="M17" i="283"/>
  <c r="AE94" i="297"/>
  <c r="AP103" i="297"/>
  <c r="AQ112" i="297"/>
  <c r="W14" i="283"/>
  <c r="W15" i="283" s="1"/>
  <c r="I14" i="282"/>
  <c r="AU96" i="297"/>
  <c r="AF40" i="282"/>
  <c r="AC94" i="297"/>
  <c r="AH10" i="283"/>
  <c r="AN109" i="297"/>
  <c r="C132" i="297" s="1"/>
  <c r="M11" i="282"/>
  <c r="AJ49" i="297"/>
  <c r="AG36" i="284"/>
  <c r="I23" i="283"/>
  <c r="AI103" i="297"/>
  <c r="J16" i="297" s="1"/>
  <c r="AN111" i="297"/>
  <c r="E132" i="297" s="1"/>
  <c r="H23" i="283"/>
  <c r="AI37" i="282"/>
  <c r="M19" i="283"/>
  <c r="AG103" i="297"/>
  <c r="H16" i="297" s="1"/>
  <c r="G18" i="282"/>
  <c r="AC102" i="297"/>
  <c r="D130" i="297" s="1"/>
  <c r="AE31" i="282"/>
  <c r="AG26" i="282" s="1"/>
  <c r="F79" i="282" s="1"/>
  <c r="AN56" i="297"/>
  <c r="M13" i="283"/>
  <c r="AI105" i="297"/>
  <c r="H18" i="282"/>
  <c r="AN16" i="284"/>
  <c r="AD94" i="297"/>
  <c r="AN65" i="282"/>
  <c r="AN64" i="282" s="1"/>
  <c r="AA10" i="283"/>
  <c r="AH12" i="283"/>
  <c r="AE105" i="297"/>
  <c r="AB125" i="297" s="1"/>
  <c r="AS99" i="297"/>
  <c r="AS110" i="297" s="1"/>
  <c r="AN112" i="297"/>
  <c r="F132" i="297" s="1"/>
  <c r="AK50" i="283"/>
  <c r="G181" i="283" s="1"/>
  <c r="AQ56" i="297"/>
  <c r="AP110" i="297"/>
  <c r="M13" i="282"/>
  <c r="AJ19" i="286"/>
  <c r="K15" i="286"/>
  <c r="AD103" i="297"/>
  <c r="E133" i="297" s="1"/>
  <c r="AF105" i="297"/>
  <c r="G18" i="297" s="1"/>
  <c r="AI101" i="297"/>
  <c r="C127" i="297" s="1"/>
  <c r="AI11" i="283"/>
  <c r="AQ113" i="297"/>
  <c r="AM111" i="297"/>
  <c r="AL40" i="282"/>
  <c r="AS100" i="297"/>
  <c r="AS111" i="297" s="1"/>
  <c r="AE36" i="284"/>
  <c r="AI36" i="284" s="1"/>
  <c r="AI10" i="283"/>
  <c r="AL14" i="284"/>
  <c r="AN56" i="286"/>
  <c r="K16" i="286"/>
  <c r="J14" i="286"/>
  <c r="AR56" i="297"/>
  <c r="AK31" i="282"/>
  <c r="AM26" i="282" s="1"/>
  <c r="H79" i="282" s="1"/>
  <c r="AK26" i="283"/>
  <c r="L18" i="282"/>
  <c r="AJ87" i="297"/>
  <c r="AH65" i="282"/>
  <c r="AH64" i="282" s="1"/>
  <c r="AU49" i="297"/>
  <c r="AS98" i="297"/>
  <c r="M15" i="283"/>
  <c r="K14" i="286"/>
  <c r="AO110" i="297"/>
  <c r="D135" i="297" s="1"/>
  <c r="AL31" i="282"/>
  <c r="AN30" i="282" s="1"/>
  <c r="AI102" i="297"/>
  <c r="J15" i="297" s="1"/>
  <c r="K18" i="282"/>
  <c r="AK33" i="283"/>
  <c r="AN19" i="286"/>
  <c r="AC81" i="284"/>
  <c r="AG81" i="284" s="1"/>
  <c r="AK56" i="286"/>
  <c r="Y14" i="283"/>
  <c r="J12" i="284"/>
  <c r="K18" i="286"/>
  <c r="M21" i="283"/>
  <c r="AB56" i="297"/>
  <c r="AK36" i="283"/>
  <c r="AN50" i="282"/>
  <c r="AN49" i="282" s="1"/>
  <c r="J11" i="284"/>
  <c r="AF94" i="297"/>
  <c r="M20" i="283"/>
  <c r="AG94" i="297"/>
  <c r="AH38" i="282"/>
  <c r="AI38" i="282" s="1"/>
  <c r="AO20" i="286"/>
  <c r="M14" i="283"/>
  <c r="AT111" i="297"/>
  <c r="E126" i="297" s="1"/>
  <c r="AN40" i="282"/>
  <c r="AI94" i="297"/>
  <c r="J19" i="297" s="1"/>
  <c r="AQ103" i="297"/>
  <c r="G16" i="284"/>
  <c r="AI14" i="282"/>
  <c r="AI39" i="283"/>
  <c r="AF40" i="283" s="1"/>
  <c r="AG68" i="284"/>
  <c r="V14" i="283"/>
  <c r="AE14" i="283" s="1"/>
  <c r="AE52" i="283" s="1"/>
  <c r="U14" i="283"/>
  <c r="AT103" i="297"/>
  <c r="AH39" i="283"/>
  <c r="AK39" i="283" s="1"/>
  <c r="AK25" i="283"/>
  <c r="AC105" i="297"/>
  <c r="D18" i="297" s="1"/>
  <c r="K17" i="286"/>
  <c r="K12" i="286"/>
  <c r="J17" i="286"/>
  <c r="T87" i="283"/>
  <c r="AI56" i="297"/>
  <c r="AJ56" i="286"/>
  <c r="AK34" i="283"/>
  <c r="F18" i="283"/>
  <c r="AH39" i="284"/>
  <c r="M16" i="282"/>
  <c r="AM103" i="297"/>
  <c r="AI56" i="286"/>
  <c r="AM109" i="297"/>
  <c r="C129" i="297" s="1"/>
  <c r="AG35" i="284"/>
  <c r="I15" i="282"/>
  <c r="I18" i="282" s="1"/>
  <c r="AI12" i="283"/>
  <c r="AL15" i="284"/>
  <c r="J14" i="284"/>
  <c r="AF102" i="297"/>
  <c r="G15" i="297" s="1"/>
  <c r="AB103" i="297"/>
  <c r="C16" i="297" s="1"/>
  <c r="H18" i="283"/>
  <c r="AM110" i="297"/>
  <c r="D129" i="297" s="1"/>
  <c r="AL12" i="284"/>
  <c r="AS101" i="297"/>
  <c r="AS112" i="297" s="1"/>
  <c r="AI19" i="286"/>
  <c r="AB102" i="297"/>
  <c r="C15" i="297" s="1"/>
  <c r="J18" i="286"/>
  <c r="J12" i="286"/>
  <c r="AS56" i="297"/>
  <c r="AM16" i="286"/>
  <c r="AM19" i="286" s="1"/>
  <c r="K13" i="286"/>
  <c r="AE104" i="297"/>
  <c r="AB124" i="297" s="1"/>
  <c r="AO56" i="286"/>
  <c r="M10" i="283"/>
  <c r="H18" i="286"/>
  <c r="H12" i="286"/>
  <c r="H13" i="286"/>
  <c r="H14" i="286"/>
  <c r="H17" i="286"/>
  <c r="H11" i="286"/>
  <c r="I15" i="286"/>
  <c r="I16" i="286"/>
  <c r="G129" i="297"/>
  <c r="G132" i="297"/>
  <c r="G135" i="297"/>
  <c r="AF16" i="286"/>
  <c r="AL16" i="286"/>
  <c r="AL19" i="286" s="1"/>
  <c r="AI18" i="286"/>
  <c r="AJ18" i="286"/>
  <c r="AK18" i="286"/>
  <c r="AN18" i="286"/>
  <c r="AC56" i="297"/>
  <c r="AD106" i="297" s="1"/>
  <c r="AD101" i="297"/>
  <c r="C133"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H65" i="283" s="1"/>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AK13" i="283"/>
  <c r="AE50" i="283"/>
  <c r="AK52" i="283"/>
  <c r="G184" i="283" s="1"/>
  <c r="AK51" i="283"/>
  <c r="AK12" i="283"/>
  <c r="U15" i="283"/>
  <c r="AF14" i="283"/>
  <c r="AK11" i="283"/>
  <c r="V15" i="283"/>
  <c r="T15" i="283"/>
  <c r="F23" i="283"/>
  <c r="M22" i="283"/>
  <c r="M11" i="283"/>
  <c r="AM29" i="282"/>
  <c r="H82" i="282" s="1"/>
  <c r="AM30" i="282"/>
  <c r="H83" i="282" s="1"/>
  <c r="AM27" i="282"/>
  <c r="H80" i="282" s="1"/>
  <c r="AM28" i="282"/>
  <c r="H81" i="282" s="1"/>
  <c r="AG29" i="282"/>
  <c r="F82" i="282" s="1"/>
  <c r="AG28" i="282"/>
  <c r="F81" i="282" s="1"/>
  <c r="AG27" i="282"/>
  <c r="F80" i="282" s="1"/>
  <c r="AG30" i="282"/>
  <c r="F83" i="282" s="1"/>
  <c r="AH26" i="282"/>
  <c r="G79" i="282" s="1"/>
  <c r="D136" i="297"/>
  <c r="G136" i="297"/>
  <c r="E18" i="297"/>
  <c r="G16" i="297"/>
  <c r="D141" i="297"/>
  <c r="E138" i="297"/>
  <c r="F142" i="297"/>
  <c r="H17" i="297"/>
  <c r="D126" i="297"/>
  <c r="AR114" i="297"/>
  <c r="E129" i="297"/>
  <c r="AM114" i="297"/>
  <c r="H18" i="297"/>
  <c r="E130" i="297"/>
  <c r="D16" i="297"/>
  <c r="C142" i="297"/>
  <c r="H14" i="297"/>
  <c r="F141" i="297"/>
  <c r="C126" i="297"/>
  <c r="E136" i="297"/>
  <c r="F16" i="297"/>
  <c r="F130" i="297"/>
  <c r="AG40" i="283"/>
  <c r="G185" i="283"/>
  <c r="G23" i="283"/>
  <c r="AG78" i="284"/>
  <c r="AJ40" i="283"/>
  <c r="AK10" i="283"/>
  <c r="AH40" i="282"/>
  <c r="AH40" i="283"/>
  <c r="AG79" i="284"/>
  <c r="AE79" i="284"/>
  <c r="AI79" i="284" s="1"/>
  <c r="AG80" i="284"/>
  <c r="AE80" i="284"/>
  <c r="AI80" i="284" s="1"/>
  <c r="AH67" i="284"/>
  <c r="AE78" i="284"/>
  <c r="AI78" i="284" s="1"/>
  <c r="AE40" i="283"/>
  <c r="AJ16" i="283"/>
  <c r="AF16" i="283"/>
  <c r="AE16" i="283"/>
  <c r="AG16" i="283"/>
  <c r="AI30" i="282"/>
  <c r="AH28" i="282"/>
  <c r="AH29" i="282"/>
  <c r="AH27" i="282"/>
  <c r="AN29" i="282"/>
  <c r="I82" i="282" s="1"/>
  <c r="AH49" i="282"/>
  <c r="G142" i="297" l="1"/>
  <c r="AF106" i="297"/>
  <c r="E15" i="297"/>
  <c r="AK57" i="286"/>
  <c r="F15" i="297"/>
  <c r="F18" i="297"/>
  <c r="F127" i="297"/>
  <c r="AN114" i="297"/>
  <c r="AN119" i="297" s="1"/>
  <c r="E127" i="297"/>
  <c r="H15" i="297"/>
  <c r="H23" i="297" s="1"/>
  <c r="D142" i="297"/>
  <c r="AT114" i="297"/>
  <c r="AR121" i="297" s="1"/>
  <c r="AN20" i="286"/>
  <c r="AH68" i="284"/>
  <c r="AK20" i="286"/>
  <c r="AJ20" i="286"/>
  <c r="M18" i="283"/>
  <c r="F17" i="297"/>
  <c r="F25" i="297" s="1"/>
  <c r="AP114" i="297"/>
  <c r="E17" i="297"/>
  <c r="AH66" i="284"/>
  <c r="F138" i="297"/>
  <c r="G138" i="297"/>
  <c r="AO57" i="286"/>
  <c r="D15" i="297"/>
  <c r="AI40" i="283"/>
  <c r="AH65" i="284"/>
  <c r="AQ114" i="297"/>
  <c r="AH36" i="284"/>
  <c r="AE106" i="297"/>
  <c r="AD110" i="297" s="1"/>
  <c r="AI16" i="283"/>
  <c r="AI20" i="286"/>
  <c r="AG52" i="283"/>
  <c r="J184" i="283" s="1"/>
  <c r="Z15" i="283"/>
  <c r="AG50" i="283"/>
  <c r="J181" i="283" s="1"/>
  <c r="AB106" i="297"/>
  <c r="D138" i="297"/>
  <c r="AG51" i="283"/>
  <c r="L27" i="282"/>
  <c r="AN57" i="286"/>
  <c r="AC106" i="297"/>
  <c r="AB114" i="297" s="1"/>
  <c r="G130" i="297"/>
  <c r="AH35" i="284"/>
  <c r="AG106" i="297"/>
  <c r="AF110" i="297" s="1"/>
  <c r="F14" i="297"/>
  <c r="C136" i="297"/>
  <c r="AJ57" i="286"/>
  <c r="AM18" i="286"/>
  <c r="AM20" i="286" s="1"/>
  <c r="AI14" i="283"/>
  <c r="AJ51" i="283" s="1"/>
  <c r="F183" i="283" s="1"/>
  <c r="AH105" i="297"/>
  <c r="AC125" i="297" s="1"/>
  <c r="D127" i="297"/>
  <c r="J14" i="297"/>
  <c r="C22" i="297" s="1"/>
  <c r="C19" i="297"/>
  <c r="AH101" i="297"/>
  <c r="AC121" i="297" s="1"/>
  <c r="M18" i="282"/>
  <c r="Y15" i="283"/>
  <c r="AK47" i="283"/>
  <c r="AK48" i="283" s="1"/>
  <c r="AL16" i="284"/>
  <c r="AI106" i="297"/>
  <c r="AG111" i="297" s="1"/>
  <c r="J18" i="297"/>
  <c r="I18" i="297" s="1"/>
  <c r="I26" i="297" s="1"/>
  <c r="E16" i="297"/>
  <c r="E24" i="297" s="1"/>
  <c r="AJ94" i="297"/>
  <c r="AH14" i="283"/>
  <c r="AH51" i="283" s="1"/>
  <c r="K183" i="283" s="1"/>
  <c r="G127" i="297"/>
  <c r="AI57" i="286"/>
  <c r="AD123" i="297"/>
  <c r="E142" i="297"/>
  <c r="E14" i="297"/>
  <c r="AN26" i="282"/>
  <c r="AN28" i="282"/>
  <c r="I81" i="282" s="1"/>
  <c r="AE49" i="283"/>
  <c r="AH103" i="297"/>
  <c r="AC123" i="297" s="1"/>
  <c r="AE51" i="283"/>
  <c r="AE47" i="283" s="1"/>
  <c r="M23" i="283"/>
  <c r="AJ65" i="283"/>
  <c r="F194" i="283" s="1"/>
  <c r="AN27" i="282"/>
  <c r="I80" i="282" s="1"/>
  <c r="AE56" i="283"/>
  <c r="AE57" i="283" s="1"/>
  <c r="AG56" i="283"/>
  <c r="AG63" i="283" s="1"/>
  <c r="AL18" i="286"/>
  <c r="AL20" i="286" s="1"/>
  <c r="AH102" i="297"/>
  <c r="AC122" i="297" s="1"/>
  <c r="AM55" i="286"/>
  <c r="AM57" i="286" s="1"/>
  <c r="D14" i="297"/>
  <c r="D19" i="297" s="1"/>
  <c r="AL55" i="286"/>
  <c r="AL57" i="286" s="1"/>
  <c r="F195" i="283"/>
  <c r="AH56" i="283"/>
  <c r="AH57" i="283" s="1"/>
  <c r="F136" i="297"/>
  <c r="AH104" i="297"/>
  <c r="AS103" i="297"/>
  <c r="AU103" i="297" s="1"/>
  <c r="AE111" i="297"/>
  <c r="AE112" i="297"/>
  <c r="AE113" i="297"/>
  <c r="AE114" i="297"/>
  <c r="G14" i="297"/>
  <c r="AE110" i="297"/>
  <c r="H133" i="297"/>
  <c r="D159" i="297" s="1"/>
  <c r="AC111" i="297"/>
  <c r="AC112" i="297"/>
  <c r="AC113" i="297"/>
  <c r="AC114" i="297"/>
  <c r="AC110" i="297"/>
  <c r="AB112" i="297"/>
  <c r="AB113" i="297"/>
  <c r="AG65" i="283"/>
  <c r="J194" i="283" s="1"/>
  <c r="AE65" i="283"/>
  <c r="AG72" i="283" s="1"/>
  <c r="AF56" i="283"/>
  <c r="AF57" i="283" s="1"/>
  <c r="H190" i="283"/>
  <c r="AM122" i="297"/>
  <c r="AM121" i="297"/>
  <c r="AQ121" i="297"/>
  <c r="AQ122" i="297"/>
  <c r="AK56" i="283"/>
  <c r="G188" i="283" s="1"/>
  <c r="G189" i="283"/>
  <c r="I189" i="283"/>
  <c r="AJ56" i="283"/>
  <c r="AJ57" i="283" s="1"/>
  <c r="H189" i="283"/>
  <c r="K189" i="283"/>
  <c r="J189" i="283"/>
  <c r="AK65" i="283"/>
  <c r="G194" i="283" s="1"/>
  <c r="G195" i="283"/>
  <c r="J195" i="283"/>
  <c r="AH66" i="283"/>
  <c r="K195" i="283"/>
  <c r="I195" i="283"/>
  <c r="I194" i="283"/>
  <c r="AH50" i="283"/>
  <c r="K181" i="283" s="1"/>
  <c r="AH49" i="283"/>
  <c r="K185" i="283" s="1"/>
  <c r="AF50" i="283"/>
  <c r="I181" i="283" s="1"/>
  <c r="AF49" i="283"/>
  <c r="I185" i="283" s="1"/>
  <c r="AH52" i="283"/>
  <c r="K184" i="283" s="1"/>
  <c r="AF52" i="283"/>
  <c r="I184" i="283" s="1"/>
  <c r="AF51" i="283"/>
  <c r="I183" i="283" s="1"/>
  <c r="J183" i="283"/>
  <c r="I79" i="282"/>
  <c r="G83" i="282"/>
  <c r="I83" i="282"/>
  <c r="H136" i="297"/>
  <c r="AH82" i="284"/>
  <c r="AH81" i="284" s="1"/>
  <c r="AE81" i="284"/>
  <c r="AI81" i="284" s="1"/>
  <c r="E23" i="297"/>
  <c r="C23" i="297"/>
  <c r="F23" i="297"/>
  <c r="G23" i="297"/>
  <c r="AR120" i="297"/>
  <c r="G25" i="297"/>
  <c r="D25" i="297"/>
  <c r="F24" i="297"/>
  <c r="D24" i="297"/>
  <c r="C24" i="297"/>
  <c r="G24" i="297"/>
  <c r="H24" i="297"/>
  <c r="C25" i="297"/>
  <c r="H25" i="297"/>
  <c r="H26" i="297"/>
  <c r="AM118" i="297"/>
  <c r="AM120" i="297"/>
  <c r="H129" i="297"/>
  <c r="AM119" i="297"/>
  <c r="H130" i="297"/>
  <c r="AQ118" i="297"/>
  <c r="AQ119" i="297"/>
  <c r="H141" i="297"/>
  <c r="AQ120" i="297"/>
  <c r="E25" i="297"/>
  <c r="F26" i="297"/>
  <c r="G26" i="297"/>
  <c r="AI72" i="283"/>
  <c r="K194" i="283"/>
  <c r="AE63" i="283"/>
  <c r="G183" i="283"/>
  <c r="AF66" i="283"/>
  <c r="AH72" i="283"/>
  <c r="AK40" i="283"/>
  <c r="AK16" i="283"/>
  <c r="AJ63" i="283"/>
  <c r="G182" i="283"/>
  <c r="G80" i="282"/>
  <c r="AI27" i="282"/>
  <c r="G82" i="282"/>
  <c r="AI29" i="282"/>
  <c r="AI26" i="282"/>
  <c r="G81" i="282"/>
  <c r="AI28" i="282"/>
  <c r="AR119" i="297" l="1"/>
  <c r="AN122" i="297"/>
  <c r="AR118" i="297"/>
  <c r="H126" i="297"/>
  <c r="AN121" i="297"/>
  <c r="AN120" i="297"/>
  <c r="AN118" i="297"/>
  <c r="H132" i="297"/>
  <c r="D158" i="297" s="1"/>
  <c r="AR122" i="297"/>
  <c r="AD113" i="297"/>
  <c r="AD114" i="297"/>
  <c r="AD112" i="297"/>
  <c r="E26" i="297"/>
  <c r="AD111" i="297"/>
  <c r="AG113" i="297"/>
  <c r="H19" i="297"/>
  <c r="I15" i="297"/>
  <c r="I23" i="297" s="1"/>
  <c r="I16" i="297"/>
  <c r="I24" i="297" s="1"/>
  <c r="C139" i="297"/>
  <c r="I17" i="297"/>
  <c r="I25" i="297" s="1"/>
  <c r="AE66" i="283"/>
  <c r="F19" i="297"/>
  <c r="D23" i="297"/>
  <c r="AJ52" i="283"/>
  <c r="F184" i="283" s="1"/>
  <c r="AB111" i="297"/>
  <c r="AK54" i="283"/>
  <c r="AB110" i="297"/>
  <c r="AG47" i="283"/>
  <c r="AG48" i="283" s="1"/>
  <c r="G139" i="297"/>
  <c r="E22" i="297"/>
  <c r="F22" i="297"/>
  <c r="AF114" i="297"/>
  <c r="H22" i="297"/>
  <c r="AF111" i="297"/>
  <c r="AG114" i="297"/>
  <c r="AG112" i="297"/>
  <c r="E19" i="297"/>
  <c r="J188" i="283"/>
  <c r="AG57" i="283"/>
  <c r="AF113" i="297"/>
  <c r="D22" i="297"/>
  <c r="AJ72" i="283"/>
  <c r="G22" i="297"/>
  <c r="AF112" i="297"/>
  <c r="AK63" i="283"/>
  <c r="H142" i="297"/>
  <c r="E168" i="297" s="1"/>
  <c r="G159" i="297"/>
  <c r="AJ49" i="283"/>
  <c r="F185" i="283" s="1"/>
  <c r="AE72" i="283"/>
  <c r="AJ50" i="283"/>
  <c r="F181" i="283" s="1"/>
  <c r="D139" i="297"/>
  <c r="F188" i="283"/>
  <c r="E139" i="297"/>
  <c r="C26" i="297"/>
  <c r="I188" i="283"/>
  <c r="AG110" i="297"/>
  <c r="AH63" i="283"/>
  <c r="AF63" i="283"/>
  <c r="D26" i="297"/>
  <c r="AF72" i="283"/>
  <c r="H127" i="297"/>
  <c r="C153" i="297" s="1"/>
  <c r="AK66" i="283"/>
  <c r="AG66" i="283"/>
  <c r="H194" i="283"/>
  <c r="I14" i="297"/>
  <c r="K188" i="283"/>
  <c r="AJ66" i="283"/>
  <c r="AH106" i="297"/>
  <c r="H139" i="297" s="1"/>
  <c r="H188" i="283"/>
  <c r="F139" i="297"/>
  <c r="AF47" i="283"/>
  <c r="AF48" i="283" s="1"/>
  <c r="AH47" i="283"/>
  <c r="AH48" i="283" s="1"/>
  <c r="G19" i="297"/>
  <c r="AC124" i="297"/>
  <c r="AK57" i="283"/>
  <c r="AQ123" i="297"/>
  <c r="AM123" i="297"/>
  <c r="C159" i="297"/>
  <c r="F159" i="297"/>
  <c r="E159" i="297"/>
  <c r="E167" i="297"/>
  <c r="G167" i="297"/>
  <c r="F167" i="297"/>
  <c r="C167" i="297"/>
  <c r="D167" i="297"/>
  <c r="E162" i="297"/>
  <c r="C162" i="297"/>
  <c r="F162" i="297"/>
  <c r="G162" i="297"/>
  <c r="D162" i="297"/>
  <c r="D156" i="297"/>
  <c r="F156" i="297"/>
  <c r="E156" i="297"/>
  <c r="G156" i="297"/>
  <c r="D155" i="297"/>
  <c r="E155" i="297"/>
  <c r="F155" i="297"/>
  <c r="G155" i="297"/>
  <c r="C156" i="297"/>
  <c r="C155" i="297"/>
  <c r="E152" i="297"/>
  <c r="D152" i="297"/>
  <c r="F152" i="297"/>
  <c r="C152" i="297"/>
  <c r="AE48" i="283"/>
  <c r="H183" i="283"/>
  <c r="H184" i="283"/>
  <c r="J182" i="283"/>
  <c r="AH78" i="284"/>
  <c r="AH79" i="284"/>
  <c r="AH80" i="284"/>
  <c r="G152" i="297"/>
  <c r="AG54" i="283"/>
  <c r="F158" i="297" l="1"/>
  <c r="AR123" i="297"/>
  <c r="G158" i="297"/>
  <c r="AN123" i="297"/>
  <c r="C158" i="297"/>
  <c r="E158" i="297"/>
  <c r="I19" i="297"/>
  <c r="C165" i="297"/>
  <c r="AJ47" i="283"/>
  <c r="D153" i="297"/>
  <c r="F168" i="297"/>
  <c r="D168" i="297"/>
  <c r="E153" i="297"/>
  <c r="G168" i="297"/>
  <c r="F153" i="297"/>
  <c r="C168" i="297"/>
  <c r="G153" i="297"/>
  <c r="F182" i="283"/>
  <c r="D165" i="297"/>
  <c r="E165" i="297"/>
  <c r="G165" i="297"/>
  <c r="F165" i="297"/>
  <c r="I22" i="297"/>
  <c r="K182" i="283"/>
  <c r="AH54" i="283"/>
  <c r="I182" i="283"/>
  <c r="AF54" i="283"/>
  <c r="H182" i="283"/>
  <c r="AE54" i="283"/>
  <c r="AJ48" i="283" l="1"/>
  <c r="AJ54"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<sst xmlns="http://schemas.openxmlformats.org/spreadsheetml/2006/main" count="1855" uniqueCount="716">
  <si>
    <t>INTRODUCTION AND PURPOSE</t>
  </si>
  <si>
    <t>TOOLKIT ORGANIZATION</t>
  </si>
  <si>
    <t>INSTRUCTIONS FOR USE</t>
  </si>
  <si>
    <t>PRINTING</t>
  </si>
  <si>
    <t>EXPORTING</t>
  </si>
  <si>
    <t xml:space="preserve">Inputs </t>
  </si>
  <si>
    <t>US Census Bureau Input:</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</si>
  <si>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</si>
  <si>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</si>
  <si>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</si>
  <si>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</si>
  <si>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</si>
  <si>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</si>
  <si>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</si>
  <si>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</si>
  <si>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</si>
  <si>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</si>
  <si>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</si>
  <si>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</si>
  <si>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</si>
  <si>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</si>
  <si>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</si>
  <si>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</si>
  <si>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</si>
  <si>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</si>
  <si>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</si>
  <si>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</si>
  <si>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</si>
  <si>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</si>
  <si>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</si>
  <si>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</si>
  <si>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</si>
  <si>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</si>
  <si>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</si>
  <si>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</si>
  <si>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</si>
  <si>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</si>
  <si>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</si>
  <si>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</si>
  <si>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</si>
  <si>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</si>
  <si>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</si>
  <si>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</si>
  <si>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</si>
  <si>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</si>
  <si>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</si>
  <si>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</si>
  <si>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</si>
  <si>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</si>
  <si>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</si>
  <si>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</si>
  <si>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</si>
  <si>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</si>
  <si>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</si>
  <si>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</si>
  <si>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</si>
  <si>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</si>
  <si>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</si>
  <si>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</si>
  <si>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</si>
  <si>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</si>
  <si>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</si>
  <si>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</si>
  <si>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</si>
  <si>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</si>
  <si>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</si>
  <si>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</si>
  <si>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</si>
  <si>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</si>
  <si>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</si>
  <si>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</si>
  <si>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</si>
  <si>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</si>
  <si>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</si>
  <si>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</si>
  <si>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</si>
  <si>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</si>
  <si>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</si>
  <si>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</si>
  <si>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</si>
  <si>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</si>
  <si>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</si>
  <si>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</si>
  <si>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</si>
  <si>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</si>
  <si>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</si>
  <si>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</si>
  <si>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</si>
  <si>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</si>
  <si>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</si>
  <si>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</si>
  <si>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</si>
  <si>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</si>
  <si>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</si>
  <si>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</si>
  <si>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</si>
  <si>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</si>
  <si>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</si>
  <si>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</si>
  <si>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</si>
  <si>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</si>
  <si>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</si>
  <si>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</si>
  <si>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</si>
  <si>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</si>
  <si>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</si>
  <si>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</si>
  <si>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</si>
  <si>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</si>
  <si>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</si>
  <si>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</si>
  <si>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</si>
  <si>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</si>
  <si>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</si>
  <si>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</si>
  <si>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</si>
  <si>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</si>
  <si>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</si>
  <si>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</si>
  <si>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</si>
  <si>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</si>
  <si>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</si>
  <si>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</si>
  <si>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</si>
  <si>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</si>
  <si>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</si>
  <si>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</si>
  <si>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</si>
  <si>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</si>
  <si>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</si>
  <si>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</si>
  <si>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</si>
  <si>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</si>
  <si>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</si>
  <si>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</si>
  <si>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</si>
  <si>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</si>
  <si>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</si>
  <si>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</si>
  <si>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</si>
  <si>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</si>
  <si>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</si>
  <si>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</si>
  <si>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</si>
  <si>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</si>
  <si>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</si>
  <si>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</si>
  <si>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</si>
  <si>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</si>
  <si>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</si>
  <si>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</si>
  <si>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</si>
  <si>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</si>
  <si>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</si>
  <si>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</si>
  <si>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</si>
  <si>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</si>
  <si>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</si>
  <si>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</si>
  <si>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</si>
  <si>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</si>
  <si>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</si>
  <si>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</si>
  <si>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</si>
  <si>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</si>
  <si>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</si>
  <si>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</si>
  <si>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</si>
  <si>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</si>
  <si>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</si>
  <si>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</si>
  <si>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</si>
  <si>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</si>
  <si>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</si>
  <si>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</si>
  <si>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</si>
  <si>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</si>
  <si>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</si>
  <si>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</si>
  <si>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</si>
  <si>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</si>
  <si>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</si>
  <si>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</si>
  <si>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</si>
  <si>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</si>
  <si>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</si>
  <si>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</si>
  <si>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</si>
  <si>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</si>
  <si>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</si>
  <si>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</si>
  <si>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</si>
  <si>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</si>
  <si>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</si>
  <si>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</si>
  <si>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</si>
  <si>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</si>
  <si>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</si>
  <si>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</si>
  <si>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</si>
  <si>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</si>
  <si>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</si>
  <si>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</si>
  <si>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</si>
  <si>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</si>
  <si>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</si>
  <si>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</si>
  <si>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</si>
  <si>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</si>
  <si>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</si>
  <si>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</si>
  <si>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</si>
  <si>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</si>
  <si>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</si>
  <si>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</si>
  <si>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</si>
  <si>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</si>
  <si>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</si>
  <si>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</si>
  <si>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</si>
  <si>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</si>
  <si>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</si>
  <si>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</si>
  <si>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</si>
  <si>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</si>
  <si>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</si>
  <si>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</si>
  <si>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</si>
  <si>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</si>
  <si>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</si>
  <si>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</si>
  <si>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</si>
  <si>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</si>
  <si>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</si>
  <si>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</si>
  <si>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</si>
  <si>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</si>
  <si>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</si>
  <si>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</si>
  <si>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</si>
  <si>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</si>
  <si>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</si>
  <si>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</si>
  <si>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</si>
  <si>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</si>
  <si>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</si>
  <si>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</si>
  <si>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</si>
  <si>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</si>
  <si>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</si>
  <si>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</si>
  <si>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</si>
  <si>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</si>
  <si>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</si>
  <si>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</si>
  <si>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</si>
  <si>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</si>
  <si>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</si>
  <si>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</si>
  <si>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</si>
  <si>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</si>
  <si>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</si>
  <si>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</si>
  <si>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</si>
  <si>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</si>
  <si>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</si>
  <si>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</si>
  <si>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</si>
  <si>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</si>
  <si>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</si>
  <si>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</si>
  <si>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</si>
  <si>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</si>
  <si>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</si>
  <si>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</si>
  <si>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</si>
  <si>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</si>
  <si>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</si>
  <si>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</si>
  <si>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</si>
  <si>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</si>
  <si>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</si>
  <si>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</si>
  <si>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</si>
  <si>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</si>
  <si>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</si>
  <si>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</si>
  <si>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</si>
  <si>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</si>
  <si>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</si>
  <si>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</si>
  <si>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</si>
  <si>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</si>
  <si>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</si>
  <si>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</si>
  <si>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</si>
  <si>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</si>
  <si>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</si>
  <si>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</si>
  <si>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</si>
  <si>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</si>
  <si>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</si>
  <si>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</si>
  <si>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</si>
  <si>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</si>
  <si>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</si>
  <si>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</si>
  <si>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</si>
  <si>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</si>
  <si>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</si>
  <si>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</si>
  <si>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</si>
  <si>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</si>
  <si>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</si>
  <si>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</si>
  <si>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</si>
  <si>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</si>
  <si>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</si>
  <si>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</si>
  <si>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</si>
  <si>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</si>
  <si>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</si>
  <si>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</si>
  <si>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</si>
  <si>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</si>
  <si>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</si>
  <si>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</si>
  <si>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</si>
  <si>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</si>
  <si>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</si>
  <si>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</si>
  <si>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</si>
  <si>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</si>
  <si>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</si>
  <si>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</si>
  <si>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</si>
  <si>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</si>
  <si>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</si>
  <si>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</si>
  <si>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</si>
  <si>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</si>
  <si>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</si>
  <si>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</si>
  <si>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</si>
  <si>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</si>
  <si>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</si>
  <si>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</si>
  <si>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</si>
  <si>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</si>
  <si>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</si>
  <si>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</si>
  <si>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</si>
  <si>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</si>
  <si>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</si>
  <si>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</si>
  <si>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</si>
  <si>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</si>
  <si>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</si>
  <si>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</si>
  <si>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</si>
  <si>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</si>
  <si>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</si>
  <si>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</si>
  <si>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</si>
  <si>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</si>
  <si>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</si>
  <si>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</si>
  <si>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</si>
  <si>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</si>
  <si>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</si>
  <si>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</si>
  <si>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</si>
  <si>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</si>
  <si>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</si>
  <si>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</si>
  <si>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</si>
  <si>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</si>
  <si>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</si>
  <si>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</si>
  <si>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</si>
  <si>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</si>
  <si>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</si>
  <si>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</si>
  <si>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</si>
  <si>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</si>
  <si>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</si>
  <si>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</si>
  <si>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</si>
  <si>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</si>
  <si>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</si>
  <si>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</si>
  <si>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</si>
  <si>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</si>
  <si>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</si>
  <si>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</si>
  <si>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</si>
  <si>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</si>
  <si>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</si>
  <si>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</si>
  <si>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</si>
  <si>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</si>
  <si>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</si>
  <si>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</si>
  <si>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</si>
  <si>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</si>
  <si>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</si>
  <si>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</si>
  <si>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</si>
  <si>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</si>
  <si>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</si>
  <si>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</si>
  <si>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</si>
  <si>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</si>
  <si>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</si>
  <si>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</si>
  <si>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</si>
  <si>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</si>
  <si>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</si>
  <si>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</si>
  <si>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</si>
  <si>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</si>
  <si>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</si>
  <si>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</si>
  <si>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</si>
  <si>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</si>
  <si>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</si>
  <si>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</si>
  <si>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</si>
  <si>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</si>
  <si>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</si>
  <si>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</si>
  <si>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</si>
  <si>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</si>
  <si>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</si>
  <si>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</si>
  <si>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</si>
  <si>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</si>
  <si>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</si>
  <si>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</si>
  <si>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</si>
  <si>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</si>
  <si>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</si>
  <si>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</si>
  <si>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</si>
  <si>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</si>
  <si>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</si>
  <si>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</si>
  <si>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</si>
  <si>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</si>
  <si>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</si>
  <si>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</si>
  <si>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</si>
  <si>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</si>
  <si>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</si>
  <si>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</si>
  <si>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</si>
  <si>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</si>
  <si>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</si>
  <si>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</si>
  <si>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</si>
  <si>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</si>
  <si>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</si>
  <si>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</si>
  <si>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</si>
  <si>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</si>
  <si>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</si>
  <si>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</si>
  <si>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</si>
  <si>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</si>
  <si>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</si>
  <si>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</si>
  <si>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</si>
  <si>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</si>
  <si>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</si>
  <si>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</si>
  <si>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</si>
  <si>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</si>
  <si>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</si>
  <si>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</si>
  <si>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</si>
  <si>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</si>
  <si>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</si>
  <si>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</si>
  <si>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</si>
  <si>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</si>
  <si>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</si>
  <si>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</si>
  <si>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</si>
  <si>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</si>
  <si>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</si>
  <si>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</si>
  <si>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</si>
  <si>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</si>
  <si>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</si>
  <si>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</si>
  <si>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</si>
  <si>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</si>
  <si>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</si>
  <si>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</si>
  <si>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</si>
  <si>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</si>
  <si>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</si>
  <si>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</si>
  <si>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</si>
  <si>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</si>
  <si>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</si>
  <si>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</si>
  <si>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</si>
  <si>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</si>
  <si>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</si>
  <si>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</si>
  <si>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</si>
  <si>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</si>
  <si>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</si>
  <si>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</si>
  <si>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</si>
  <si>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</si>
  <si>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</si>
  <si>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</si>
  <si>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</si>
  <si>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</si>
  <si>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</si>
  <si>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</si>
  <si>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</si>
  <si>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</si>
  <si>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</si>
  <si>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</si>
  <si>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</si>
  <si>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</si>
  <si>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</si>
  <si>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</si>
  <si>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</si>
  <si>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</si>
  <si>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</si>
  <si>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</si>
  <si>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</si>
  <si>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</si>
  <si>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</si>
  <si>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</si>
  <si>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</si>
  <si>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</si>
  <si>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</si>
  <si>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</si>
  <si>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</si>
  <si>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</si>
  <si>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</si>
  <si>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</si>
  <si>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</si>
  <si>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</si>
  <si>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</si>
  <si>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</si>
  <si>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</si>
  <si>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</si>
  <si>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</si>
  <si>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</si>
  <si>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</si>
  <si>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</si>
  <si>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</si>
  <si>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</si>
  <si>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</si>
  <si>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</si>
  <si>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</si>
  <si>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</si>
  <si>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</si>
  <si>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</si>
  <si>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</si>
  <si>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</si>
  <si>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</si>
  <si>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</si>
  <si>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</si>
  <si>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</si>
  <si>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</si>
  <si>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</si>
  <si>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</si>
  <si>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</si>
  <si>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</si>
  <si>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</si>
  <si>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</si>
  <si>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</si>
  <si>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</si>
  <si>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</si>
  <si>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</si>
  <si>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</si>
  <si>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</si>
  <si>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</si>
  <si>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</si>
  <si>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</si>
  <si>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</si>
  <si>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</si>
  <si>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</si>
  <si>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</si>
  <si>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</si>
  <si>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</si>
  <si>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</si>
  <si>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</si>
  <si>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</si>
  <si>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</si>
  <si>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</si>
  <si>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</si>
  <si>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</si>
  <si>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</si>
  <si>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</si>
  <si>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</si>
  <si>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</si>
  <si>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</si>
  <si>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</si>
  <si>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</si>
  <si>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</si>
  <si>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</si>
  <si>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</si>
  <si>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</si>
  <si>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</si>
  <si>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</si>
  <si>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</si>
  <si>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</si>
  <si>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</si>
  <si>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</si>
  <si>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</si>
  <si>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</si>
  <si>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</si>
  <si>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</si>
  <si>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</si>
  <si>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</si>
  <si>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</si>
  <si>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</si>
  <si>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</si>
  <si>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</si>
  <si>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</si>
  <si>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</si>
  <si>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</si>
  <si>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</si>
  <si>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</si>
  <si>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</si>
  <si>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</si>
  <si>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</si>
  <si>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</si>
  <si>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</si>
  <si>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</si>
  <si>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</si>
  <si>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</si>
  <si>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</si>
  <si>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</si>
  <si>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</si>
  <si>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</si>
  <si>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</si>
  <si>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</si>
  <si>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</si>
  <si>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</si>
  <si>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</si>
  <si>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</si>
  <si>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</si>
  <si>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</si>
  <si>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</si>
  <si>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</si>
  <si>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</si>
  <si>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</si>
  <si>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</si>
  <si>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</si>
  <si>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</si>
  <si>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</si>
  <si>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</si>
  <si>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</si>
  <si>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</si>
  <si>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</si>
  <si>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</si>
  <si>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</si>
  <si>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</si>
  <si>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</si>
  <si>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</si>
  <si>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</si>
  <si>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</si>
  <si>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</si>
  <si>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</si>
  <si>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</si>
  <si>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</si>
  <si>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</si>
  <si>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</si>
  <si>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</si>
  <si>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</si>
  <si>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</si>
  <si>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</si>
  <si>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</si>
  <si>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</si>
  <si>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</si>
  <si>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</si>
  <si>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</si>
  <si>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</si>
  <si>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</si>
  <si>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</si>
  <si>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</si>
  <si>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</si>
  <si>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</si>
  <si>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</si>
  <si>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</si>
  <si>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</si>
  <si>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</si>
  <si>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</si>
  <si>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</si>
  <si>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</si>
  <si>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</si>
  <si>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</si>
  <si>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</si>
  <si>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</si>
  <si>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</si>
  <si>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</si>
  <si>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</si>
  <si>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</si>
  <si>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</si>
  <si>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</si>
  <si>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</si>
  <si>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</si>
  <si>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</si>
  <si>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</si>
  <si>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</si>
  <si>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Algona city, Washington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</si>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</sst>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6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8" fillId="0" borderId="0" xfId="0" applyFont="1"/>
    <xf numFmtId="0" fontId="28" fillId="0" borderId="0" xfId="0" applyFont="1" applyAlignment="1">
      <alignment horizontal="left"/>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4BF522D6-90C0-4C69-883B-7ACE0524CE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7C452FAF-E07C-40ED-9B0E-EAB0513B9F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5AACADCF-4867-48F5-A41F-C67516ADE6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6CBE95FA-6B0D-414A-9510-B960C156FF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DB9A6379-5288-4B8C-B93E-5A19356A75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542</c:v>
                </c:pt>
                <c:pt idx="1">
                  <c:v>224</c:v>
                </c:pt>
                <c:pt idx="2">
                  <c:v>833</c:v>
                </c:pt>
                <c:pt idx="3">
                  <c:v>402</c:v>
                </c:pt>
                <c:pt idx="4">
                  <c:v>1206</c:v>
                </c:pt>
              </c:numCache>
            </c:numRef>
          </c:val>
          <c:extLst>
            <c:ext xmlns:c15="http://schemas.microsoft.com/office/drawing/2012/chart" uri="{02D57815-91ED-43cb-92C2-25804820EDAC}">
              <c15:datalabelsRange>
                <c15:f>'Racial Composition'!$AI$26:$AI$30</c15:f>
                <c15:dlblRangeCache>
                  <c:ptCount val="5"/>
                  <c:pt idx="0">
                    <c:v>542
(17%)</c:v>
                  </c:pt>
                  <c:pt idx="1">
                    <c:v>224
(7%)</c:v>
                  </c:pt>
                  <c:pt idx="2">
                    <c:v>833
(26%)</c:v>
                  </c:pt>
                  <c:pt idx="3">
                    <c:v>402
(13%)</c:v>
                  </c:pt>
                  <c:pt idx="4">
                    <c:v>1,206
(38%)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4</c:v>
                </c:pt>
                <c:pt idx="1">
                  <c:v>15</c:v>
                </c:pt>
                <c:pt idx="2">
                  <c:v>15</c:v>
                </c:pt>
                <c:pt idx="3">
                  <c:v>0</c:v>
                </c:pt>
                <c:pt idx="4">
                  <c:v>40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20</c:v>
                </c:pt>
                <c:pt idx="1">
                  <c:v>0</c:v>
                </c:pt>
                <c:pt idx="2">
                  <c:v>0</c:v>
                </c:pt>
                <c:pt idx="3">
                  <c:v>0</c:v>
                </c:pt>
                <c:pt idx="4">
                  <c:v>85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100</c:v>
                </c:pt>
                <c:pt idx="1">
                  <c:v>20</c:v>
                </c:pt>
                <c:pt idx="2">
                  <c:v>55</c:v>
                </c:pt>
                <c:pt idx="3">
                  <c:v>60</c:v>
                </c:pt>
                <c:pt idx="4">
                  <c:v>305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15</c:v>
                </c:pt>
                <c:pt idx="1">
                  <c:v>38</c:v>
                </c:pt>
                <c:pt idx="2">
                  <c:v>50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59</c:v>
                </c:pt>
                <c:pt idx="2">
                  <c:v>115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80</c:v>
                </c:pt>
                <c:pt idx="1">
                  <c:v>268</c:v>
                </c:pt>
                <c:pt idx="2">
                  <c:v>375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15</c:v>
                </c:pt>
                <c:pt idx="1">
                  <c:v>34</c:v>
                </c:pt>
                <c:pt idx="2">
                  <c:v>40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20</c:v>
                </c:pt>
                <c:pt idx="2">
                  <c:v>85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55</c:v>
                </c:pt>
                <c:pt idx="1">
                  <c:v>235</c:v>
                </c:pt>
                <c:pt idx="2">
                  <c:v>305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10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39</c:v>
                </c:pt>
                <c:pt idx="2">
                  <c:v>30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25</c:v>
                </c:pt>
                <c:pt idx="1">
                  <c:v>33</c:v>
                </c:pt>
                <c:pt idx="2">
                  <c:v>70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0.15151515151515152</c:v>
                </c:pt>
                <c:pt idx="1">
                  <c:v>0.10410958904109589</c:v>
                </c:pt>
                <c:pt idx="2">
                  <c:v>9.1911764705882359E-2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4.0404040404040407E-2</c:v>
                </c:pt>
                <c:pt idx="1">
                  <c:v>0.16164383561643836</c:v>
                </c:pt>
                <c:pt idx="2">
                  <c:v>0.21139705882352941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0.80808080808080807</c:v>
                </c:pt>
                <c:pt idx="1">
                  <c:v>0.73424657534246573</c:v>
                </c:pt>
                <c:pt idx="2">
                  <c:v>0.68933823529411764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7.3529411764705881E-3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5.6338028169014086E-2</c:v>
                </c:pt>
                <c:pt idx="1">
                  <c:v>0.234375</c:v>
                </c:pt>
                <c:pt idx="2">
                  <c:v>0.15151515151515152</c:v>
                </c:pt>
                <c:pt idx="3">
                  <c:v>0</c:v>
                </c:pt>
                <c:pt idx="4">
                  <c:v>0.10410958904109589</c:v>
                </c:pt>
                <c:pt idx="5">
                  <c:v>9.1911764705882359E-2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0.21126760563380281</c:v>
                </c:pt>
                <c:pt idx="1">
                  <c:v>0.390625</c:v>
                </c:pt>
                <c:pt idx="2">
                  <c:v>4.0404040404040407E-2</c:v>
                </c:pt>
                <c:pt idx="3">
                  <c:v>0</c:v>
                </c:pt>
                <c:pt idx="4">
                  <c:v>0.16164383561643836</c:v>
                </c:pt>
                <c:pt idx="5">
                  <c:v>0.21139705882352941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0.73239436619718312</c:v>
                </c:pt>
                <c:pt idx="1">
                  <c:v>0.375</c:v>
                </c:pt>
                <c:pt idx="2">
                  <c:v>0.80808080808080807</c:v>
                </c:pt>
                <c:pt idx="3">
                  <c:v>1</c:v>
                </c:pt>
                <c:pt idx="4">
                  <c:v>0.73424657534246573</c:v>
                </c:pt>
                <c:pt idx="5">
                  <c:v>0.68933823529411764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7.3529411764705881E-3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0.15151515151515152</c:v>
                </c:pt>
                <c:pt idx="1">
                  <c:v>0.10410958904109589</c:v>
                </c:pt>
                <c:pt idx="2">
                  <c:v>9.1911764705882359E-2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4.0404040404040407E-2</c:v>
                </c:pt>
                <c:pt idx="1">
                  <c:v>0.16164383561643836</c:v>
                </c:pt>
                <c:pt idx="2">
                  <c:v>0.21139705882352941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0.80808080808080807</c:v>
                </c:pt>
                <c:pt idx="1">
                  <c:v>0.73424657534246573</c:v>
                </c:pt>
                <c:pt idx="2">
                  <c:v>0.68933823529411764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7.3529411764705881E-3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5.3333333333333337E-2</c:v>
                </c:pt>
                <c:pt idx="2">
                  <c:v>8.3333333333333329E-2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0.13333333333333333</c:v>
                </c:pt>
                <c:pt idx="1">
                  <c:v>0.52</c:v>
                </c:pt>
                <c:pt idx="2">
                  <c:v>0.25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0.83333333333333337</c:v>
                </c:pt>
                <c:pt idx="1">
                  <c:v>0.44</c:v>
                </c:pt>
                <c:pt idx="2">
                  <c:v>0.58333333333333337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3.3333333333333333E-2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7.6923076923076927E-2</c:v>
                </c:pt>
                <c:pt idx="1">
                  <c:v>0.10810810810810811</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0.38461538461538464</c:v>
                </c:pt>
                <c:pt idx="1">
                  <c:v>0.59459459459459463</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0.30769230769230771</c:v>
                </c:pt>
                <c:pt idx="1">
                  <c:v>0.24324324324324326</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0.23076923076923078</c:v>
                </c:pt>
                <c:pt idx="1">
                  <c:v>5.4054054054054057E-2</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0</c:v>
                </c:pt>
                <c:pt idx="2">
                  <c:v>35</c:v>
                </c:pt>
                <c:pt idx="3">
                  <c:v>115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30</c:v>
                </c:pt>
                <c:pt idx="2">
                  <c:v>-60</c:v>
                </c:pt>
                <c:pt idx="3">
                  <c:v>181</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3EA965B2-E667-4BB5-B7C5-76D90F9325E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CC2C2AB3-6C04-42AA-A97C-68AAD16F9FE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FEB24147-9894-445F-ADBE-8FF5D0580AF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B8514600-2124-4FA0-A4A5-615674FF3B8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23</c:v>
                </c:pt>
                <c:pt idx="1">
                  <c:v>53</c:v>
                </c:pt>
                <c:pt idx="2">
                  <c:v>58</c:v>
                </c:pt>
                <c:pt idx="3">
                  <c:v>204</c:v>
                </c:pt>
              </c:numCache>
            </c:numRef>
          </c:val>
          <c:smooth val="0"/>
          <c:extLst>
            <c:ext xmlns:c15="http://schemas.microsoft.com/office/drawing/2012/chart" uri="{02D57815-91ED-43cb-92C2-25804820EDAC}">
              <c15:datalabelsRange>
                <c15:f>'Rental Affordability'!$AI$78:$AI$81</c15:f>
                <c15:dlblRangeCache>
                  <c:ptCount val="4"/>
                  <c:pt idx="0">
                    <c:v>Difference:
+5 units</c:v>
                  </c:pt>
                  <c:pt idx="1">
                    <c:v>Difference:
+30 units</c:v>
                  </c:pt>
                  <c:pt idx="2">
                    <c:v>Difference:
-95 units</c:v>
                  </c:pt>
                  <c:pt idx="3">
                    <c:v>Difference:
+66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Algona</c:v>
                </c:pt>
                <c:pt idx="1">
                  <c:v>King County</c:v>
                </c:pt>
              </c:strCache>
            </c:strRef>
          </c:cat>
          <c:val>
            <c:numRef>
              <c:f>('Racial Composition'!$AH$30,'Racial Composition'!$AN$30)</c:f>
              <c:numCache>
                <c:formatCode>0%</c:formatCode>
                <c:ptCount val="2"/>
                <c:pt idx="0">
                  <c:v>0.37605238540692237</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Algona</c:v>
                </c:pt>
                <c:pt idx="1">
                  <c:v>King County</c:v>
                </c:pt>
              </c:strCache>
            </c:strRef>
          </c:cat>
          <c:val>
            <c:numRef>
              <c:f>('Racial Composition'!$AH$29,'Racial Composition'!$AN$29)</c:f>
              <c:numCache>
                <c:formatCode>0%</c:formatCode>
                <c:ptCount val="2"/>
                <c:pt idx="0">
                  <c:v>0.12535079513564079</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Algona</c:v>
                </c:pt>
                <c:pt idx="1">
                  <c:v>King County</c:v>
                </c:pt>
              </c:strCache>
            </c:strRef>
          </c:cat>
          <c:val>
            <c:numRef>
              <c:f>('Racial Composition'!$AH$28,'Racial Composition'!$AN$28)</c:f>
              <c:numCache>
                <c:formatCode>0%</c:formatCode>
                <c:ptCount val="2"/>
                <c:pt idx="0">
                  <c:v>0.25974430932335518</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Algona</c:v>
                </c:pt>
                <c:pt idx="1">
                  <c:v>King County</c:v>
                </c:pt>
              </c:strCache>
            </c:strRef>
          </c:cat>
          <c:val>
            <c:numRef>
              <c:f>('Racial Composition'!$AH$27,'Racial Composition'!$AN$27)</c:f>
              <c:numCache>
                <c:formatCode>0%</c:formatCode>
                <c:ptCount val="2"/>
                <c:pt idx="0">
                  <c:v>6.984720922980979E-2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Algona</c:v>
                </c:pt>
                <c:pt idx="1">
                  <c:v>King County</c:v>
                </c:pt>
              </c:strCache>
            </c:strRef>
          </c:cat>
          <c:val>
            <c:numRef>
              <c:f>('Racial Composition'!$AH$26,'Racial Composition'!$AN$26)</c:f>
              <c:numCache>
                <c:formatCode>0%</c:formatCode>
                <c:ptCount val="2"/>
                <c:pt idx="0">
                  <c:v>0.1690053009042719</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15</c:v>
                </c:pt>
                <c:pt idx="1">
                  <c:v>75</c:v>
                </c:pt>
                <c:pt idx="2">
                  <c:v>60</c:v>
                </c:pt>
                <c:pt idx="3">
                  <c:v>45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20</c:v>
                </c:pt>
                <c:pt idx="1">
                  <c:v>110</c:v>
                </c:pt>
                <c:pt idx="2">
                  <c:v>45</c:v>
                </c:pt>
                <c:pt idx="3">
                  <c:v>10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636BF977-EC6A-401E-9A00-DF85A3054D3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32AA4D9F-6E72-422F-BCAC-EC114ADB301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7271377F-C565-46EF-B9DE-B3363D67C83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38E12059-6F33-415B-9674-3406D4CCF73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27.5</c:v>
                </c:pt>
                <c:pt idx="1">
                  <c:v>117.5</c:v>
                </c:pt>
                <c:pt idx="2">
                  <c:v>67.5</c:v>
                </c:pt>
                <c:pt idx="3">
                  <c:v>52.5</c:v>
                </c:pt>
              </c:numCache>
            </c:numRef>
          </c:val>
          <c:smooth val="0"/>
          <c:extLst>
            <c:ext xmlns:c15="http://schemas.microsoft.com/office/drawing/2012/chart" uri="{02D57815-91ED-43cb-92C2-25804820EDAC}">
              <c15:datalabelsRange>
                <c15:f>'Rental Affordability'!$AI$35:$AI$38</c15:f>
                <c15:dlblRangeCache>
                  <c:ptCount val="4"/>
                  <c:pt idx="0">
                    <c:v>Surplus: 
+5 units</c:v>
                  </c:pt>
                  <c:pt idx="1">
                    <c:v>Surplus: 
+35 units</c:v>
                  </c:pt>
                  <c:pt idx="2">
                    <c:v>Shortfall:
-15 units</c:v>
                  </c:pt>
                  <c:pt idx="3">
                    <c:v>Shortfall:
-35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0.18181818181818182</c:v>
                </c:pt>
                <c:pt idx="1">
                  <c:v>0</c:v>
                </c:pt>
                <c:pt idx="2">
                  <c:v>0.19387755102040816</c:v>
                </c:pt>
                <c:pt idx="3">
                  <c:v>0</c:v>
                </c:pt>
                <c:pt idx="4">
                  <c:v>0.10786106032906764</c:v>
                </c:pt>
                <c:pt idx="5">
                  <c:v>0.11453744493392071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0.18181818181818182</c:v>
                </c:pt>
                <c:pt idx="1">
                  <c:v>0.61403508771929827</c:v>
                </c:pt>
                <c:pt idx="2">
                  <c:v>4.0816326530612242E-2</c:v>
                </c:pt>
                <c:pt idx="3">
                  <c:v>0</c:v>
                </c:pt>
                <c:pt idx="4">
                  <c:v>0.20109689213893966</c:v>
                </c:pt>
                <c:pt idx="5">
                  <c:v>0.18612334801762115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7.575757575757576E-2</c:v>
                </c:pt>
                <c:pt idx="1">
                  <c:v>7.0175438596491224E-2</c:v>
                </c:pt>
                <c:pt idx="2">
                  <c:v>0.25510204081632654</c:v>
                </c:pt>
                <c:pt idx="3">
                  <c:v>0</c:v>
                </c:pt>
                <c:pt idx="4">
                  <c:v>0.15356489945155394</c:v>
                </c:pt>
                <c:pt idx="5">
                  <c:v>0.15969162995594713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0.10606060606060606</c:v>
                </c:pt>
                <c:pt idx="1">
                  <c:v>0.14035087719298245</c:v>
                </c:pt>
                <c:pt idx="2">
                  <c:v>0.10204081632653061</c:v>
                </c:pt>
                <c:pt idx="3">
                  <c:v>0</c:v>
                </c:pt>
                <c:pt idx="4">
                  <c:v>0.21937842778793418</c:v>
                </c:pt>
                <c:pt idx="5">
                  <c:v>0.18171806167400881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0.45454545454545453</c:v>
                </c:pt>
                <c:pt idx="1">
                  <c:v>0.17543859649122806</c:v>
                </c:pt>
                <c:pt idx="2">
                  <c:v>0.40816326530612246</c:v>
                </c:pt>
                <c:pt idx="3">
                  <c:v>1</c:v>
                </c:pt>
                <c:pt idx="4">
                  <c:v>0.31809872029250458</c:v>
                </c:pt>
                <c:pt idx="5">
                  <c:v>0.35792951541850221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24</c:v>
                </c:pt>
                <c:pt idx="2">
                  <c:v>0</c:v>
                </c:pt>
                <c:pt idx="3">
                  <c:v>19</c:v>
                </c:pt>
                <c:pt idx="4">
                  <c:v>0</c:v>
                </c:pt>
                <c:pt idx="5">
                  <c:v>59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24</c:v>
                </c:pt>
                <c:pt idx="2">
                  <c:v>35</c:v>
                </c:pt>
                <c:pt idx="3">
                  <c:v>4</c:v>
                </c:pt>
                <c:pt idx="4">
                  <c:v>0</c:v>
                </c:pt>
                <c:pt idx="5">
                  <c:v>110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19</c:v>
                </c:pt>
                <c:pt idx="1">
                  <c:v>10</c:v>
                </c:pt>
                <c:pt idx="2">
                  <c:v>4</c:v>
                </c:pt>
                <c:pt idx="3">
                  <c:v>25</c:v>
                </c:pt>
                <c:pt idx="4">
                  <c:v>0</c:v>
                </c:pt>
                <c:pt idx="5">
                  <c:v>84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14</c:v>
                </c:pt>
                <c:pt idx="2">
                  <c:v>8</c:v>
                </c:pt>
                <c:pt idx="3">
                  <c:v>10</c:v>
                </c:pt>
                <c:pt idx="4">
                  <c:v>0</c:v>
                </c:pt>
                <c:pt idx="5">
                  <c:v>120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c:v>
                </c:pt>
                <c:pt idx="1">
                  <c:v>60</c:v>
                </c:pt>
                <c:pt idx="2">
                  <c:v>10</c:v>
                </c:pt>
                <c:pt idx="3">
                  <c:v>40</c:v>
                </c:pt>
                <c:pt idx="4">
                  <c:v>15</c:v>
                </c:pt>
                <c:pt idx="5">
                  <c:v>174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0.19387755102040816</c:v>
                </c:pt>
                <c:pt idx="1">
                  <c:v>9.8859315589353611E-2</c:v>
                </c:pt>
                <c:pt idx="2">
                  <c:v>0.10786106032906764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4.0816326530612242E-2</c:v>
                </c:pt>
                <c:pt idx="1">
                  <c:v>0.20912547528517111</c:v>
                </c:pt>
                <c:pt idx="2">
                  <c:v>0.20109689213893966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0.25510204081632654</c:v>
                </c:pt>
                <c:pt idx="1">
                  <c:v>0.13688212927756654</c:v>
                </c:pt>
                <c:pt idx="2">
                  <c:v>0.15356489945155394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0.10204081632653061</c:v>
                </c:pt>
                <c:pt idx="1">
                  <c:v>0.13307984790874525</c:v>
                </c:pt>
                <c:pt idx="2">
                  <c:v>0.21937842778793418</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0.40816326530612246</c:v>
                </c:pt>
                <c:pt idx="1">
                  <c:v>0.4220532319391635</c:v>
                </c:pt>
                <c:pt idx="2">
                  <c:v>0.31809872029250458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19</c:v>
                </c:pt>
                <c:pt idx="1">
                  <c:v>26</c:v>
                </c:pt>
                <c:pt idx="2">
                  <c:v>59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55</c:v>
                </c:pt>
                <c:pt idx="2">
                  <c:v>110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25</c:v>
                </c:pt>
                <c:pt idx="1">
                  <c:v>36</c:v>
                </c:pt>
                <c:pt idx="2">
                  <c:v>84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10</c:v>
                </c:pt>
                <c:pt idx="1">
                  <c:v>35</c:v>
                </c:pt>
                <c:pt idx="2">
                  <c:v>120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40</c:v>
                </c:pt>
                <c:pt idx="1">
                  <c:v>111</c:v>
                </c:pt>
                <c:pt idx="2">
                  <c:v>174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0.14712153518123666</c:v>
                </c:pt>
                <c:pt idx="2">
                  <c:v>0.11453744493392071</c:v>
                </c:pt>
                <c:pt idx="4">
                  <c:v>0.21875</c:v>
                </c:pt>
                <c:pt idx="5">
                  <c:v>0.18181818181818182</c:v>
                </c:pt>
                <c:pt idx="7">
                  <c:v>0.7142857142857143</c:v>
                </c:pt>
                <c:pt idx="8">
                  <c:v>0</c:v>
                </c:pt>
                <c:pt idx="10">
                  <c:v>0.16666666666666666</c:v>
                </c:pt>
                <c:pt idx="11">
                  <c:v>0.19387755102040816</c:v>
                </c:pt>
                <c:pt idx="13">
                  <c:v>9.8765432098765427E-2</c:v>
                </c:pt>
                <c:pt idx="14">
                  <c:v>2.7027027027027029E-2</c:v>
                </c:pt>
                <c:pt idx="16">
                  <c:v>0.12592592592592591</c:v>
                </c:pt>
                <c:pt idx="17">
                  <c:v>0.10786106032906764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0.20255863539445629</c:v>
                </c:pt>
                <c:pt idx="2">
                  <c:v>0.18612334801762115</c:v>
                </c:pt>
                <c:pt idx="4">
                  <c:v>0.3125</c:v>
                </c:pt>
                <c:pt idx="5">
                  <c:v>0.18181818181818182</c:v>
                </c:pt>
                <c:pt idx="7">
                  <c:v>0</c:v>
                </c:pt>
                <c:pt idx="8">
                  <c:v>0.61403508771929827</c:v>
                </c:pt>
                <c:pt idx="10">
                  <c:v>0.45833333333333331</c:v>
                </c:pt>
                <c:pt idx="11">
                  <c:v>4.0816326530612242E-2</c:v>
                </c:pt>
                <c:pt idx="13">
                  <c:v>6.1728395061728392E-2</c:v>
                </c:pt>
                <c:pt idx="14">
                  <c:v>-5.4054054054054057E-2</c:v>
                </c:pt>
                <c:pt idx="16">
                  <c:v>0.16296296296296298</c:v>
                </c:pt>
                <c:pt idx="17">
                  <c:v>0.20109689213893966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0.17590618336886993</c:v>
                </c:pt>
                <c:pt idx="2">
                  <c:v>0.15969162995594713</c:v>
                </c:pt>
                <c:pt idx="4">
                  <c:v>0.15625</c:v>
                </c:pt>
                <c:pt idx="5">
                  <c:v>7.575757575757576E-2</c:v>
                </c:pt>
                <c:pt idx="7">
                  <c:v>0</c:v>
                </c:pt>
                <c:pt idx="8">
                  <c:v>7.0175438596491224E-2</c:v>
                </c:pt>
                <c:pt idx="10">
                  <c:v>0</c:v>
                </c:pt>
                <c:pt idx="11">
                  <c:v>0.25510204081632654</c:v>
                </c:pt>
                <c:pt idx="13">
                  <c:v>0.18518518518518517</c:v>
                </c:pt>
                <c:pt idx="14">
                  <c:v>0.29729729729729731</c:v>
                </c:pt>
                <c:pt idx="16">
                  <c:v>0.21481481481481482</c:v>
                </c:pt>
                <c:pt idx="17">
                  <c:v>0.15356489945155394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0.14925373134328357</c:v>
                </c:pt>
                <c:pt idx="2">
                  <c:v>0.18171806167400881</c:v>
                </c:pt>
                <c:pt idx="4">
                  <c:v>0.3125</c:v>
                </c:pt>
                <c:pt idx="5">
                  <c:v>0.10606060606060606</c:v>
                </c:pt>
                <c:pt idx="7">
                  <c:v>0</c:v>
                </c:pt>
                <c:pt idx="8">
                  <c:v>0.14035087719298245</c:v>
                </c:pt>
                <c:pt idx="10">
                  <c:v>0.29166666666666669</c:v>
                </c:pt>
                <c:pt idx="11">
                  <c:v>0.10204081632653061</c:v>
                </c:pt>
                <c:pt idx="13">
                  <c:v>0.37037037037037035</c:v>
                </c:pt>
                <c:pt idx="14">
                  <c:v>0.17567567567567569</c:v>
                </c:pt>
                <c:pt idx="16">
                  <c:v>9.6296296296296297E-2</c:v>
                </c:pt>
                <c:pt idx="17">
                  <c:v>0.21937842778793418</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0.3251599147121535</c:v>
                </c:pt>
                <c:pt idx="2">
                  <c:v>0.35792951541850221</c:v>
                </c:pt>
                <c:pt idx="4">
                  <c:v>0</c:v>
                </c:pt>
                <c:pt idx="5">
                  <c:v>0.45454545454545453</c:v>
                </c:pt>
                <c:pt idx="7">
                  <c:v>0.2857142857142857</c:v>
                </c:pt>
                <c:pt idx="8">
                  <c:v>0.17543859649122806</c:v>
                </c:pt>
                <c:pt idx="10">
                  <c:v>8.3333333333333329E-2</c:v>
                </c:pt>
                <c:pt idx="11">
                  <c:v>0.40816326530612246</c:v>
                </c:pt>
                <c:pt idx="13">
                  <c:v>0.2839506172839506</c:v>
                </c:pt>
                <c:pt idx="14">
                  <c:v>0.55405405405405406</c:v>
                </c:pt>
                <c:pt idx="16">
                  <c:v>0.4</c:v>
                </c:pt>
                <c:pt idx="17">
                  <c:v>0.31809872029250458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120</c:v>
                </c:pt>
                <c:pt idx="1">
                  <c:v>30</c:v>
                </c:pt>
                <c:pt idx="2">
                  <c:v>75</c:v>
                </c:pt>
                <c:pt idx="3">
                  <c:v>60</c:v>
                </c:pt>
                <c:pt idx="4">
                  <c:v>430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15</c:v>
                </c:pt>
                <c:pt idx="1">
                  <c:v>30</c:v>
                </c:pt>
                <c:pt idx="2">
                  <c:v>30</c:v>
                </c:pt>
                <c:pt idx="3">
                  <c:v>0</c:v>
                </c:pt>
                <c:pt idx="4">
                  <c:v>120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75</c:v>
                </c:pt>
                <c:pt idx="1">
                  <c:v>210</c:v>
                </c:pt>
                <c:pt idx="2">
                  <c:v>430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30</c:v>
                </c:pt>
                <c:pt idx="1">
                  <c:v>45</c:v>
                </c:pt>
                <c:pt idx="2">
                  <c:v>120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0.88888888888888884</c:v>
                </c:pt>
                <c:pt idx="1">
                  <c:v>0.5</c:v>
                </c:pt>
                <c:pt idx="2">
                  <c:v>0.7142857142857143</c:v>
                </c:pt>
                <c:pt idx="3">
                  <c:v>1</c:v>
                </c:pt>
                <c:pt idx="4">
                  <c:v>0.78181818181818186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0.1111111111111111</c:v>
                </c:pt>
                <c:pt idx="1">
                  <c:v>0.5</c:v>
                </c:pt>
                <c:pt idx="2">
                  <c:v>0.2857142857142857</c:v>
                </c:pt>
                <c:pt idx="3">
                  <c:v>0</c:v>
                </c:pt>
                <c:pt idx="4">
                  <c:v>0.21818181818181817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0.7142857142857143</c:v>
                </c:pt>
                <c:pt idx="1">
                  <c:v>0.82352941176470584</c:v>
                </c:pt>
                <c:pt idx="2">
                  <c:v>0.78181818181818186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0.2857142857142857</c:v>
                </c:pt>
                <c:pt idx="1">
                  <c:v>0.17647058823529413</c:v>
                </c:pt>
                <c:pt idx="2">
                  <c:v>0.21818181818181817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Algona</c:v>
                  </c:pt>
                  <c:pt idx="2">
                    <c:v>King County</c:v>
                  </c:pt>
                </c:lvl>
              </c:multiLvlStrCache>
            </c:multiLvlStrRef>
          </c:cat>
          <c:val>
            <c:numRef>
              <c:f>('Racial Composition'!$AG$39:$AH$39,'Racial Composition'!$AM$39:$AN$39)</c:f>
              <c:numCache>
                <c:formatCode>0%</c:formatCode>
                <c:ptCount val="4"/>
                <c:pt idx="0">
                  <c:v>0.62825877051818479</c:v>
                </c:pt>
                <c:pt idx="1">
                  <c:v>0.37605238540692237</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Algona</c:v>
                  </c:pt>
                  <c:pt idx="2">
                    <c:v>King County</c:v>
                  </c:pt>
                </c:lvl>
              </c:multiLvlStrCache>
            </c:multiLvlStrRef>
          </c:cat>
          <c:val>
            <c:numRef>
              <c:f>('Racial Composition'!$AG$38:$AH$38,'Racial Composition'!$AM$38:$AN$38)</c:f>
              <c:numCache>
                <c:formatCode>0%</c:formatCode>
                <c:ptCount val="4"/>
                <c:pt idx="0">
                  <c:v>0.22401029932410688</c:v>
                </c:pt>
                <c:pt idx="1">
                  <c:v>0.3642033052697225</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Algona</c:v>
                  </c:pt>
                  <c:pt idx="2">
                    <c:v>King County</c:v>
                  </c:pt>
                </c:lvl>
              </c:multiLvlStrCache>
            </c:multiLvlStrRef>
          </c:cat>
          <c:val>
            <c:numRef>
              <c:f>('Racial Composition'!$AG$37:$AH$37,'Racial Composition'!$AM$37:$AN$37)</c:f>
              <c:numCache>
                <c:formatCode>0%</c:formatCode>
                <c:ptCount val="4"/>
                <c:pt idx="0">
                  <c:v>0.14773093015770841</c:v>
                </c:pt>
                <c:pt idx="1">
                  <c:v>0.25974430932335518</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F78142AA-C1F4-4EA3-89F8-609C256C78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69BC4902-4CD6-4AB3-A821-E5E2E12566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B13FA66B-FF71-461A-BDEE-77A478DC14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833</c:v>
                </c:pt>
                <c:pt idx="1">
                  <c:v>1168</c:v>
                </c:pt>
                <c:pt idx="2">
                  <c:v>1206</c:v>
                </c:pt>
              </c:numCache>
            </c:numRef>
          </c:val>
          <c:extLst>
            <c:ext xmlns:c15="http://schemas.microsoft.com/office/drawing/2012/chart" uri="{02D57815-91ED-43cb-92C2-25804820EDAC}">
              <c15:datalabelsRange>
                <c15:f>'Racial Composition'!$AI$37:$AI$39</c15:f>
                <c15:dlblRangeCache>
                  <c:ptCount val="3"/>
                  <c:pt idx="0">
                    <c:v>833
(26%)</c:v>
                  </c:pt>
                  <c:pt idx="1">
                    <c:v>1,168
(36%)</c:v>
                  </c:pt>
                  <c:pt idx="2">
                    <c:v>1,206
(38%)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Algona</c:v>
                </c:pt>
                <c:pt idx="1">
                  <c:v>King County</c:v>
                </c:pt>
              </c:strCache>
            </c:strRef>
          </c:cat>
          <c:val>
            <c:numRef>
              <c:f>('Racial Composition'!$AH$39,'Racial Composition'!$AN$39)</c:f>
              <c:numCache>
                <c:formatCode>0%</c:formatCode>
                <c:ptCount val="2"/>
                <c:pt idx="0">
                  <c:v>0.37605238540692237</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Algona</c:v>
                </c:pt>
                <c:pt idx="1">
                  <c:v>King County</c:v>
                </c:pt>
              </c:strCache>
            </c:strRef>
          </c:cat>
          <c:val>
            <c:numRef>
              <c:f>('Racial Composition'!$AH$38,'Racial Composition'!$AN$38)</c:f>
              <c:numCache>
                <c:formatCode>0%</c:formatCode>
                <c:ptCount val="2"/>
                <c:pt idx="0">
                  <c:v>0.3642033052697225</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Algona</c:v>
                </c:pt>
                <c:pt idx="1">
                  <c:v>King County</c:v>
                </c:pt>
              </c:strCache>
            </c:strRef>
          </c:cat>
          <c:val>
            <c:numRef>
              <c:f>('Racial Composition'!$AH$37,'Racial Composition'!$AN$37)</c:f>
              <c:numCache>
                <c:formatCode>0%</c:formatCode>
                <c:ptCount val="2"/>
                <c:pt idx="0">
                  <c:v>0.25974430932335518</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8</c:v>
                </c:pt>
                <c:pt idx="1">
                  <c:v>15</c:v>
                </c:pt>
                <c:pt idx="2">
                  <c:v>15</c:v>
                </c:pt>
                <c:pt idx="3">
                  <c:v>0</c:v>
                </c:pt>
                <c:pt idx="4">
                  <c:v>50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30</c:v>
                </c:pt>
                <c:pt idx="1">
                  <c:v>25</c:v>
                </c:pt>
                <c:pt idx="2">
                  <c:v>4</c:v>
                </c:pt>
                <c:pt idx="3">
                  <c:v>0</c:v>
                </c:pt>
                <c:pt idx="4">
                  <c:v>115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104</c:v>
                </c:pt>
                <c:pt idx="1">
                  <c:v>24</c:v>
                </c:pt>
                <c:pt idx="2">
                  <c:v>80</c:v>
                </c:pt>
                <c:pt idx="3">
                  <c:v>60</c:v>
                </c:pt>
                <c:pt idx="4">
                  <c:v>375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4</c:v>
                </c:pt>
                <c:pt idx="1">
                  <c:v>0</c:v>
                </c:pt>
                <c:pt idx="2">
                  <c:v>0</c:v>
                </c:pt>
                <c:pt idx="3">
                  <c:v>0</c:v>
                </c:pt>
                <c:pt idx="4">
                  <c:v>10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10</c:v>
                </c:pt>
                <c:pt idx="1">
                  <c:v>25</c:v>
                </c:pt>
                <c:pt idx="2">
                  <c:v>4</c:v>
                </c:pt>
                <c:pt idx="3">
                  <c:v>0</c:v>
                </c:pt>
                <c:pt idx="4">
                  <c:v>30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c:v>
                </c:pt>
                <c:pt idx="1">
                  <c:v>4</c:v>
                </c:pt>
                <c:pt idx="2">
                  <c:v>25</c:v>
                </c:pt>
                <c:pt idx="3">
                  <c:v>0</c:v>
                </c:pt>
                <c:pt idx="4">
                  <c:v>70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5.6338028169014086E-2</c:v>
                </c:pt>
                <c:pt idx="1">
                  <c:v>0.234375</c:v>
                </c:pt>
                <c:pt idx="2">
                  <c:v>0.15151515151515152</c:v>
                </c:pt>
                <c:pt idx="3">
                  <c:v>0</c:v>
                </c:pt>
                <c:pt idx="4">
                  <c:v>0.10410958904109589</c:v>
                </c:pt>
                <c:pt idx="5">
                  <c:v>9.1911764705882359E-2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0.21126760563380281</c:v>
                </c:pt>
                <c:pt idx="1">
                  <c:v>0.390625</c:v>
                </c:pt>
                <c:pt idx="2">
                  <c:v>4.0404040404040407E-2</c:v>
                </c:pt>
                <c:pt idx="3">
                  <c:v>0</c:v>
                </c:pt>
                <c:pt idx="4">
                  <c:v>0.16164383561643836</c:v>
                </c:pt>
                <c:pt idx="5">
                  <c:v>0.21139705882352941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0.73239436619718312</c:v>
                </c:pt>
                <c:pt idx="1">
                  <c:v>0.375</c:v>
                </c:pt>
                <c:pt idx="2">
                  <c:v>0.80808080808080807</c:v>
                </c:pt>
                <c:pt idx="3">
                  <c:v>1</c:v>
                </c:pt>
                <c:pt idx="4">
                  <c:v>0.73424657534246573</c:v>
                </c:pt>
                <c:pt idx="5">
                  <c:v>0.68933823529411764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7.3529411764705881E-3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0.26666666666666666</c:v>
                </c:pt>
                <c:pt idx="1">
                  <c:v>0</c:v>
                </c:pt>
                <c:pt idx="2">
                  <c:v>0</c:v>
                </c:pt>
                <c:pt idx="3">
                  <c:v>0</c:v>
                </c:pt>
                <c:pt idx="4">
                  <c:v>5.3333333333333337E-2</c:v>
                </c:pt>
                <c:pt idx="5">
                  <c:v>8.3333333333333329E-2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0.66666666666666663</c:v>
                </c:pt>
                <c:pt idx="1">
                  <c:v>0.83333333333333337</c:v>
                </c:pt>
                <c:pt idx="2">
                  <c:v>0.13333333333333333</c:v>
                </c:pt>
                <c:pt idx="3">
                  <c:v>0</c:v>
                </c:pt>
                <c:pt idx="4">
                  <c:v>0.52</c:v>
                </c:pt>
                <c:pt idx="5">
                  <c:v>0.25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0.26666666666666666</c:v>
                </c:pt>
                <c:pt idx="1">
                  <c:v>0.13333333333333333</c:v>
                </c:pt>
                <c:pt idx="2">
                  <c:v>0.83333333333333337</c:v>
                </c:pt>
                <c:pt idx="3">
                  <c:v>0</c:v>
                </c:pt>
                <c:pt idx="4">
                  <c:v>0.44</c:v>
                </c:pt>
                <c:pt idx="5">
                  <c:v>0.58333333333333337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3.3333333333333333E-2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Algona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43"/>
      <c r="B1" s="143"/>
      <c r="C1" s="143"/>
      <c r="D1" s="143"/>
      <c r="E1" s="143"/>
      <c r="F1" s="143"/>
      <c r="G1" s="143"/>
      <c r="H1" s="143"/>
      <c r="I1" s="143"/>
      <c r="J1" s="143"/>
    </row>
    <row r="2" spans="1:10" ht="18">
      <c r="A2" s="144" t="s">
        <v>0</v>
      </c>
      <c r="B2" s="143"/>
      <c r="C2" s="143"/>
      <c r="D2" s="143"/>
      <c r="E2" s="143"/>
      <c r="F2" s="143"/>
      <c r="G2" s="143"/>
      <c r="H2" s="143"/>
      <c r="I2" s="143"/>
      <c r="J2" s="143"/>
    </row>
    <row r="3" spans="1:10">
      <c r="A3" s="143"/>
      <c r="B3" s="143"/>
      <c r="C3" s="143"/>
      <c r="D3" s="143"/>
      <c r="E3" s="143"/>
      <c r="F3" s="143"/>
      <c r="G3" s="143"/>
      <c r="H3" s="143"/>
      <c r="I3" s="143"/>
      <c r="J3" s="143"/>
    </row>
    <row r="4" spans="1:10">
      <c r="A4" s="143"/>
      <c r="B4" s="143"/>
      <c r="C4" s="143"/>
      <c r="D4" s="143"/>
      <c r="E4" s="143"/>
      <c r="F4" s="143"/>
      <c r="G4" s="143"/>
      <c r="H4" s="143"/>
      <c r="I4" s="143"/>
      <c r="J4" s="143"/>
    </row>
    <row r="5" spans="1:10">
      <c r="A5" s="143"/>
      <c r="B5" s="143"/>
      <c r="C5" s="143"/>
      <c r="D5" s="143"/>
      <c r="E5" s="143"/>
      <c r="F5" s="143"/>
      <c r="G5" s="143"/>
      <c r="H5" s="143"/>
      <c r="I5" s="143"/>
      <c r="J5" s="143"/>
    </row>
    <row r="6" spans="1:10">
      <c r="A6" s="143"/>
      <c r="B6" s="143"/>
      <c r="C6" s="143"/>
      <c r="D6" s="143"/>
      <c r="E6" s="143"/>
      <c r="F6" s="143"/>
      <c r="G6" s="143"/>
      <c r="H6" s="143"/>
      <c r="I6" s="143"/>
      <c r="J6" s="143"/>
    </row>
    <row r="7" spans="1:10">
      <c r="A7" s="143"/>
      <c r="B7" s="143"/>
      <c r="C7" s="143"/>
      <c r="D7" s="143"/>
      <c r="E7" s="143"/>
      <c r="F7" s="143"/>
      <c r="G7" s="143"/>
      <c r="H7" s="143"/>
      <c r="I7" s="143"/>
      <c r="J7" s="143"/>
    </row>
    <row r="8" spans="1:10">
      <c r="A8" s="143"/>
      <c r="B8" s="143"/>
      <c r="C8" s="143"/>
      <c r="D8" s="143"/>
      <c r="E8" s="143"/>
      <c r="F8" s="143"/>
      <c r="G8" s="143"/>
      <c r="H8" s="143"/>
      <c r="I8" s="143"/>
      <c r="J8" s="143"/>
    </row>
    <row r="9" spans="1:10">
      <c r="A9" s="143"/>
      <c r="B9" s="143"/>
      <c r="C9" s="143"/>
      <c r="D9" s="143"/>
      <c r="E9" s="143"/>
      <c r="F9" s="143"/>
      <c r="G9" s="143"/>
      <c r="H9" s="143"/>
      <c r="I9" s="143"/>
      <c r="J9" s="143"/>
    </row>
    <row r="10" spans="1:10">
      <c r="A10" s="143"/>
      <c r="B10" s="143"/>
      <c r="C10" s="143"/>
      <c r="D10" s="143"/>
      <c r="E10" s="143"/>
      <c r="F10" s="143"/>
      <c r="G10" s="143"/>
      <c r="H10" s="143"/>
      <c r="I10" s="143"/>
      <c r="J10" s="143"/>
    </row>
    <row r="11" spans="1:10" ht="18">
      <c r="A11" s="144" t="s">
        <v>1</v>
      </c>
      <c r="B11" s="143"/>
      <c r="C11" s="143"/>
      <c r="D11" s="143"/>
      <c r="E11" s="143"/>
      <c r="F11" s="143"/>
      <c r="G11" s="143"/>
      <c r="H11" s="143"/>
      <c r="I11" s="143"/>
      <c r="J11" s="143"/>
    </row>
    <row r="12" spans="1:10">
      <c r="A12" s="143"/>
      <c r="B12" s="143"/>
      <c r="C12" s="143"/>
      <c r="D12" s="143"/>
      <c r="E12" s="143"/>
      <c r="F12" s="143"/>
      <c r="G12" s="143"/>
      <c r="H12" s="143"/>
      <c r="I12" s="143"/>
      <c r="J12" s="143"/>
    </row>
    <row r="13" spans="1:10">
      <c r="A13" s="143"/>
      <c r="B13" s="143"/>
      <c r="C13" s="143"/>
      <c r="D13" s="143"/>
      <c r="E13" s="143"/>
      <c r="F13" s="143"/>
      <c r="G13" s="143"/>
      <c r="H13" s="143"/>
      <c r="I13" s="143"/>
      <c r="J13" s="143"/>
    </row>
    <row r="14" spans="1:10">
      <c r="A14" s="143"/>
      <c r="B14" s="143"/>
      <c r="C14" s="143"/>
      <c r="D14" s="143"/>
      <c r="E14" s="143"/>
      <c r="F14" s="143"/>
      <c r="G14" s="143"/>
      <c r="H14" s="143"/>
      <c r="I14" s="143"/>
      <c r="J14" s="143"/>
    </row>
    <row r="15" spans="1:10">
      <c r="A15" s="143"/>
      <c r="B15" s="145"/>
      <c r="C15" s="143"/>
      <c r="D15" s="143"/>
      <c r="E15" s="143"/>
      <c r="F15" s="143"/>
      <c r="G15" s="143"/>
      <c r="H15" s="143"/>
      <c r="I15" s="143"/>
      <c r="J15" s="143"/>
    </row>
    <row r="16" spans="1:10">
      <c r="A16" s="143"/>
      <c r="B16" s="143"/>
      <c r="C16" s="143"/>
      <c r="D16" s="143"/>
      <c r="E16" s="143"/>
      <c r="F16" s="143"/>
      <c r="G16" s="143"/>
      <c r="H16" s="143"/>
      <c r="I16" s="143"/>
      <c r="J16" s="143"/>
    </row>
    <row r="17" spans="1:10">
      <c r="A17" s="143"/>
      <c r="B17" s="143"/>
      <c r="C17" s="143"/>
      <c r="D17" s="143"/>
      <c r="E17" s="143"/>
      <c r="F17" s="143"/>
      <c r="G17" s="143"/>
      <c r="H17" s="143"/>
      <c r="I17" s="143"/>
      <c r="J17" s="143"/>
    </row>
    <row r="18" spans="1:10">
      <c r="A18" s="143"/>
      <c r="B18" s="146"/>
      <c r="C18" s="143"/>
      <c r="D18" s="143"/>
      <c r="E18" s="143"/>
      <c r="F18" s="143"/>
      <c r="G18" s="143"/>
      <c r="H18" s="143"/>
      <c r="I18" s="143"/>
      <c r="J18" s="143"/>
    </row>
    <row r="19" spans="1:10">
      <c r="A19" s="143"/>
      <c r="B19" s="143"/>
      <c r="C19" s="143"/>
      <c r="D19" s="143"/>
      <c r="E19" s="143"/>
      <c r="F19" s="143"/>
      <c r="G19" s="143"/>
      <c r="H19" s="143"/>
      <c r="I19" s="143"/>
      <c r="J19" s="143"/>
    </row>
    <row r="20" spans="1:10">
      <c r="A20" s="143"/>
      <c r="B20" s="143"/>
      <c r="C20" s="143"/>
      <c r="D20" s="143"/>
      <c r="E20" s="143"/>
      <c r="F20" s="143"/>
      <c r="G20" s="143"/>
      <c r="H20" s="143"/>
      <c r="I20" s="143"/>
      <c r="J20" s="143"/>
    </row>
    <row r="21" spans="1:10">
      <c r="A21" s="143"/>
      <c r="B21" s="143"/>
      <c r="C21" s="143"/>
      <c r="D21" s="143"/>
      <c r="E21" s="143"/>
      <c r="F21" s="143"/>
      <c r="G21" s="143"/>
      <c r="H21" s="143"/>
      <c r="I21" s="143"/>
      <c r="J21" s="143"/>
    </row>
    <row r="22" spans="1:10">
      <c r="A22" s="143"/>
      <c r="B22" s="143"/>
      <c r="C22" s="143"/>
      <c r="D22" s="143"/>
      <c r="E22" s="143"/>
      <c r="F22" s="143"/>
      <c r="G22" s="143"/>
      <c r="H22" s="143"/>
      <c r="I22" s="143"/>
      <c r="J22" s="143"/>
    </row>
    <row r="23" spans="1:10">
      <c r="A23" s="143"/>
      <c r="B23" s="143"/>
      <c r="C23" s="143"/>
      <c r="D23" s="143"/>
      <c r="E23" s="143"/>
      <c r="F23" s="143"/>
      <c r="G23" s="143"/>
      <c r="H23" s="143"/>
      <c r="I23" s="143"/>
      <c r="J23" s="143"/>
    </row>
    <row r="24" spans="1:10">
      <c r="A24" s="143"/>
      <c r="B24" s="143"/>
      <c r="C24" s="143"/>
      <c r="D24" s="143"/>
      <c r="E24" s="143"/>
      <c r="F24" s="143"/>
      <c r="G24" s="143"/>
      <c r="H24" s="143"/>
      <c r="I24" s="143"/>
      <c r="J24" s="143"/>
    </row>
    <row r="25" spans="1:10">
      <c r="A25" s="143"/>
      <c r="B25" s="147"/>
      <c r="C25" s="143"/>
      <c r="D25" s="143"/>
      <c r="E25" s="143"/>
      <c r="F25" s="143"/>
      <c r="G25" s="143"/>
      <c r="H25" s="143"/>
      <c r="I25" s="143"/>
      <c r="J25" s="143"/>
    </row>
    <row r="26" spans="1:10">
      <c r="A26" s="143"/>
      <c r="B26" s="143"/>
      <c r="C26" s="143"/>
      <c r="D26" s="143"/>
      <c r="E26" s="143"/>
      <c r="F26" s="143"/>
      <c r="G26" s="143"/>
      <c r="H26" s="143"/>
      <c r="I26" s="143"/>
      <c r="J26" s="143"/>
    </row>
    <row r="27" spans="1:10">
      <c r="A27" s="143"/>
      <c r="B27" s="143"/>
      <c r="C27" s="143"/>
      <c r="D27" s="143"/>
      <c r="E27" s="143"/>
      <c r="F27" s="143"/>
      <c r="G27" s="143"/>
      <c r="H27" s="143"/>
      <c r="I27" s="143"/>
      <c r="J27" s="143"/>
    </row>
    <row r="28" spans="1:10">
      <c r="A28" s="143"/>
      <c r="B28" s="143"/>
      <c r="C28" s="143"/>
      <c r="D28" s="143"/>
      <c r="E28" s="143"/>
      <c r="F28" s="143"/>
      <c r="G28" s="143"/>
      <c r="H28" s="143"/>
      <c r="I28" s="143"/>
      <c r="J28" s="143"/>
    </row>
    <row r="29" spans="1:10">
      <c r="A29" s="143"/>
      <c r="B29" s="143"/>
      <c r="C29" s="143"/>
      <c r="D29" s="143"/>
      <c r="E29" s="143"/>
      <c r="F29" s="143"/>
      <c r="G29" s="143"/>
      <c r="H29" s="143"/>
      <c r="I29" s="143"/>
      <c r="J29" s="143"/>
    </row>
    <row r="30" spans="1:10">
      <c r="A30" s="143"/>
      <c r="B30" s="148"/>
      <c r="C30" s="143"/>
      <c r="D30" s="143"/>
      <c r="E30" s="143"/>
      <c r="F30" s="143"/>
      <c r="G30" s="143"/>
      <c r="H30" s="143"/>
      <c r="I30" s="143"/>
      <c r="J30" s="143"/>
    </row>
    <row r="31" spans="1:10">
      <c r="A31" s="143"/>
      <c r="B31" s="143"/>
      <c r="C31" s="143"/>
      <c r="D31" s="143"/>
      <c r="E31" s="143"/>
      <c r="F31" s="143"/>
      <c r="G31" s="143"/>
      <c r="H31" s="143"/>
      <c r="I31" s="143"/>
      <c r="J31" s="143"/>
    </row>
    <row r="32" spans="1:10">
      <c r="A32" s="143"/>
      <c r="B32" s="143"/>
      <c r="C32" s="143"/>
      <c r="D32" s="143"/>
      <c r="E32" s="143"/>
      <c r="F32" s="143"/>
      <c r="G32" s="143"/>
      <c r="H32" s="143"/>
      <c r="I32" s="143"/>
      <c r="J32" s="143"/>
    </row>
    <row r="33" spans="1:10">
      <c r="A33" s="143"/>
      <c r="B33" s="143"/>
      <c r="C33" s="143"/>
      <c r="D33" s="143"/>
      <c r="E33" s="143"/>
      <c r="F33" s="143"/>
      <c r="G33" s="143"/>
      <c r="H33" s="143"/>
      <c r="I33" s="143"/>
      <c r="J33" s="143"/>
    </row>
    <row r="34" spans="1:10">
      <c r="A34" s="143"/>
      <c r="B34" s="149"/>
      <c r="C34" s="143"/>
      <c r="D34" s="143"/>
      <c r="E34" s="143"/>
      <c r="F34" s="143"/>
      <c r="G34" s="143"/>
      <c r="H34" s="143"/>
      <c r="I34" s="143"/>
      <c r="J34" s="143"/>
    </row>
    <row r="35" spans="1:10">
      <c r="A35" s="143"/>
      <c r="B35" s="143"/>
      <c r="C35" s="143"/>
      <c r="D35" s="143"/>
      <c r="E35" s="143"/>
      <c r="F35" s="143"/>
      <c r="G35" s="143"/>
      <c r="H35" s="143"/>
      <c r="I35" s="143"/>
      <c r="J35" s="143"/>
    </row>
    <row r="36" spans="1:10">
      <c r="A36" s="143"/>
      <c r="B36" s="143"/>
      <c r="C36" s="143"/>
      <c r="D36" s="143"/>
      <c r="E36" s="143"/>
      <c r="F36" s="143"/>
      <c r="G36" s="143"/>
      <c r="H36" s="143"/>
      <c r="I36" s="143"/>
      <c r="J36" s="143"/>
    </row>
    <row r="37" spans="1:10">
      <c r="A37" s="143"/>
      <c r="B37" s="143"/>
      <c r="C37" s="143"/>
      <c r="D37" s="143"/>
      <c r="E37" s="143"/>
      <c r="F37" s="143"/>
      <c r="G37" s="143"/>
      <c r="H37" s="143"/>
      <c r="I37" s="143"/>
      <c r="J37" s="143"/>
    </row>
    <row r="38" spans="1:10">
      <c r="A38" s="143"/>
      <c r="B38" s="143"/>
      <c r="C38" s="143"/>
      <c r="D38" s="143"/>
      <c r="E38" s="143"/>
      <c r="F38" s="143"/>
      <c r="G38" s="143"/>
      <c r="H38" s="143"/>
      <c r="I38" s="143"/>
      <c r="J38" s="143"/>
    </row>
    <row r="39" spans="1:10">
      <c r="A39" s="143"/>
      <c r="B39" s="143"/>
      <c r="C39" s="143"/>
      <c r="D39" s="143"/>
      <c r="E39" s="143"/>
      <c r="F39" s="143"/>
      <c r="G39" s="143"/>
      <c r="H39" s="143"/>
      <c r="I39" s="143"/>
      <c r="J39" s="143"/>
    </row>
    <row r="40" spans="1:10" ht="18">
      <c r="A40" s="144" t="s">
        <v>2</v>
      </c>
      <c r="B40" s="143"/>
      <c r="C40" s="143"/>
      <c r="D40" s="143"/>
      <c r="E40" s="143"/>
      <c r="F40" s="143"/>
      <c r="G40" s="143"/>
      <c r="H40" s="143"/>
      <c r="I40" s="143"/>
      <c r="J40" s="143"/>
    </row>
    <row r="41" spans="1:10">
      <c r="A41" s="143"/>
      <c r="B41" s="143"/>
      <c r="C41" s="143"/>
      <c r="D41" s="143"/>
      <c r="E41" s="143"/>
      <c r="F41" s="143"/>
      <c r="G41" s="143"/>
      <c r="H41" s="143"/>
      <c r="I41" s="143"/>
      <c r="J41" s="143"/>
    </row>
    <row r="42" spans="1:10">
      <c r="A42" s="143"/>
      <c r="B42" s="143"/>
      <c r="C42" s="143"/>
      <c r="D42" s="143"/>
      <c r="E42" s="143"/>
      <c r="F42" s="143"/>
      <c r="G42" s="143"/>
      <c r="H42" s="143"/>
      <c r="I42" s="143"/>
      <c r="J42" s="143"/>
    </row>
    <row r="43" spans="1:10">
      <c r="A43" s="143"/>
      <c r="B43" s="143"/>
      <c r="C43" s="143"/>
      <c r="D43" s="143"/>
      <c r="E43" s="143"/>
      <c r="F43" s="143"/>
      <c r="G43" s="143"/>
      <c r="H43" s="143"/>
      <c r="I43" s="143"/>
      <c r="J43" s="143"/>
    </row>
    <row r="44" spans="1:10">
      <c r="A44" s="143"/>
      <c r="B44" s="143"/>
      <c r="C44" s="143"/>
      <c r="D44" s="143"/>
      <c r="E44" s="143"/>
      <c r="F44" s="143"/>
      <c r="G44" s="143"/>
      <c r="H44" s="143"/>
      <c r="I44" s="143"/>
      <c r="J44" s="143"/>
    </row>
    <row r="45" spans="1:10">
      <c r="A45" s="143"/>
      <c r="B45" s="143"/>
      <c r="C45" s="143"/>
      <c r="D45" s="143"/>
      <c r="E45" s="143"/>
      <c r="F45" s="143"/>
      <c r="G45" s="143"/>
      <c r="H45" s="143"/>
      <c r="I45" s="143"/>
      <c r="J45" s="143"/>
    </row>
    <row r="46" spans="1:10">
      <c r="A46" s="143"/>
      <c r="B46" s="143"/>
      <c r="C46" s="143"/>
      <c r="D46" s="143"/>
      <c r="E46" s="143"/>
      <c r="F46" s="143"/>
      <c r="G46" s="143"/>
      <c r="H46" s="143"/>
      <c r="I46" s="143"/>
      <c r="J46" s="143"/>
    </row>
    <row r="47" spans="1:10">
      <c r="A47" s="143"/>
      <c r="B47" s="143"/>
      <c r="C47" s="143"/>
      <c r="D47" s="143"/>
      <c r="E47" s="143"/>
      <c r="F47" s="143"/>
      <c r="G47" s="143"/>
      <c r="H47" s="143"/>
      <c r="I47" s="143"/>
      <c r="J47" s="143"/>
    </row>
    <row r="48" spans="1:10">
      <c r="A48" s="143"/>
      <c r="B48" s="143"/>
      <c r="C48" s="143"/>
      <c r="D48" s="143"/>
      <c r="E48" s="143"/>
      <c r="F48" s="143"/>
      <c r="G48" s="143"/>
      <c r="H48" s="143"/>
      <c r="I48" s="143"/>
      <c r="J48" s="143"/>
    </row>
    <row r="49" spans="1:10">
      <c r="A49" s="143"/>
      <c r="B49" s="143"/>
      <c r="C49" s="143"/>
      <c r="D49" s="143"/>
      <c r="E49" s="143"/>
      <c r="F49" s="143"/>
      <c r="G49" s="143"/>
      <c r="H49" s="143"/>
      <c r="I49" s="143"/>
      <c r="J49" s="143"/>
    </row>
    <row r="50" spans="1:10">
      <c r="A50" s="143"/>
      <c r="B50" s="143"/>
      <c r="C50" s="143"/>
      <c r="D50" s="143"/>
      <c r="E50" s="143"/>
      <c r="F50" s="143"/>
      <c r="G50" s="143"/>
      <c r="H50" s="143"/>
      <c r="I50" s="143"/>
      <c r="J50" s="143"/>
    </row>
    <row r="51" spans="1:10">
      <c r="A51" s="143"/>
      <c r="B51" s="143"/>
      <c r="C51" s="143"/>
      <c r="D51" s="143"/>
      <c r="E51" s="143"/>
      <c r="F51" s="143"/>
      <c r="G51" s="143"/>
      <c r="H51" s="143"/>
      <c r="I51" s="143"/>
      <c r="J51" s="143"/>
    </row>
    <row r="52" spans="1:10">
      <c r="A52" s="143"/>
      <c r="B52" s="143"/>
      <c r="C52" s="143"/>
      <c r="D52" s="143"/>
      <c r="E52" s="143"/>
      <c r="F52" s="143"/>
      <c r="G52" s="143"/>
      <c r="H52" s="143"/>
      <c r="I52" s="143"/>
      <c r="J52" s="143"/>
    </row>
    <row r="53" spans="1:10">
      <c r="A53" s="143"/>
      <c r="B53" s="143"/>
      <c r="C53" s="143"/>
      <c r="D53" s="143"/>
      <c r="E53" s="143"/>
      <c r="F53" s="143"/>
      <c r="G53" s="143"/>
      <c r="H53" s="143"/>
      <c r="I53" s="143"/>
      <c r="J53" s="143"/>
    </row>
    <row r="54" spans="1:10">
      <c r="A54" s="143"/>
      <c r="B54" s="143"/>
      <c r="C54" s="143"/>
      <c r="D54" s="143"/>
      <c r="E54" s="143"/>
      <c r="F54" s="143"/>
      <c r="G54" s="143"/>
      <c r="H54" s="143"/>
      <c r="I54" s="143"/>
      <c r="J54" s="143"/>
    </row>
    <row r="55" spans="1:10">
      <c r="A55" s="143"/>
      <c r="B55" s="143"/>
      <c r="C55" s="143"/>
      <c r="D55" s="143"/>
      <c r="E55" s="143"/>
      <c r="F55" s="143"/>
      <c r="G55" s="143"/>
      <c r="H55" s="143"/>
      <c r="I55" s="143"/>
      <c r="J55" s="143"/>
    </row>
    <row r="56" spans="1:10">
      <c r="A56" s="143"/>
      <c r="B56" s="143"/>
      <c r="C56" s="143"/>
      <c r="D56" s="143"/>
      <c r="E56" s="143"/>
      <c r="F56" s="143"/>
      <c r="G56" s="143"/>
      <c r="H56" s="143"/>
      <c r="I56" s="143"/>
      <c r="J56" s="143"/>
    </row>
    <row r="57" spans="1:10">
      <c r="A57" s="143"/>
      <c r="B57" s="143"/>
      <c r="C57" s="143"/>
      <c r="D57" s="143"/>
      <c r="E57" s="143"/>
      <c r="F57" s="143"/>
      <c r="G57" s="143"/>
      <c r="H57" s="143"/>
      <c r="I57" s="143"/>
      <c r="J57" s="143"/>
    </row>
    <row r="58" spans="1:10">
      <c r="A58" s="143"/>
      <c r="B58" s="143"/>
      <c r="C58" s="143"/>
      <c r="D58" s="143"/>
      <c r="E58" s="143"/>
      <c r="F58" s="143"/>
      <c r="G58" s="143"/>
      <c r="H58" s="143"/>
      <c r="I58" s="143"/>
      <c r="J58" s="143"/>
    </row>
    <row r="59" spans="1:10">
      <c r="A59" s="143"/>
      <c r="B59" s="143"/>
      <c r="C59" s="143"/>
      <c r="D59" s="143"/>
      <c r="E59" s="143"/>
      <c r="F59" s="143"/>
      <c r="G59" s="143"/>
      <c r="H59" s="143"/>
      <c r="I59" s="143"/>
      <c r="J59" s="143"/>
    </row>
    <row r="60" spans="1:10">
      <c r="A60" s="143"/>
      <c r="B60" s="143"/>
      <c r="C60" s="143"/>
      <c r="D60" s="143"/>
      <c r="E60" s="143"/>
      <c r="F60" s="143"/>
      <c r="G60" s="143"/>
      <c r="H60" s="143"/>
      <c r="I60" s="143"/>
      <c r="J60" s="143"/>
    </row>
    <row r="61" spans="1:10">
      <c r="A61" s="143"/>
      <c r="B61" s="143"/>
      <c r="C61" s="143"/>
      <c r="D61" s="143"/>
      <c r="E61" s="143"/>
      <c r="F61" s="143"/>
      <c r="G61" s="143"/>
      <c r="H61" s="143"/>
      <c r="I61" s="143"/>
      <c r="J61" s="143"/>
    </row>
    <row r="62" spans="1:10">
      <c r="A62" s="143"/>
      <c r="B62" s="143"/>
      <c r="C62" s="143"/>
      <c r="D62" s="143"/>
      <c r="E62" s="143"/>
      <c r="F62" s="143"/>
      <c r="G62" s="143"/>
      <c r="H62" s="143"/>
      <c r="I62" s="143"/>
      <c r="J62" s="143"/>
    </row>
    <row r="63" spans="1:10">
      <c r="A63" s="143"/>
      <c r="B63" s="143"/>
      <c r="C63" s="143"/>
      <c r="D63" s="143"/>
      <c r="E63" s="143"/>
      <c r="F63" s="143"/>
      <c r="G63" s="143"/>
      <c r="H63" s="143"/>
      <c r="I63" s="143"/>
      <c r="J63" s="143"/>
    </row>
    <row r="64" spans="1:10">
      <c r="A64" s="143"/>
      <c r="B64" s="143"/>
      <c r="C64" s="143"/>
      <c r="D64" s="143"/>
      <c r="E64" s="143"/>
      <c r="F64" s="143"/>
      <c r="G64" s="143"/>
      <c r="H64" s="143"/>
      <c r="I64" s="143"/>
      <c r="J64" s="143"/>
    </row>
    <row r="65" spans="1:10">
      <c r="A65" s="143"/>
      <c r="B65" s="143"/>
      <c r="C65" s="143"/>
      <c r="D65" s="143"/>
      <c r="E65" s="143"/>
      <c r="F65" s="143"/>
      <c r="G65" s="143"/>
      <c r="H65" s="143"/>
      <c r="I65" s="143"/>
      <c r="J65" s="143"/>
    </row>
    <row r="66" spans="1:10">
      <c r="A66" s="143"/>
      <c r="B66" s="143"/>
      <c r="C66" s="143"/>
      <c r="D66" s="143"/>
      <c r="E66" s="143"/>
      <c r="F66" s="143"/>
      <c r="G66" s="143"/>
      <c r="H66" s="143"/>
      <c r="I66" s="143"/>
      <c r="J66" s="143"/>
    </row>
    <row r="67" spans="1:10">
      <c r="A67" s="143"/>
      <c r="B67" s="143"/>
      <c r="C67" s="143"/>
      <c r="D67" s="143"/>
      <c r="E67" s="143"/>
      <c r="F67" s="143"/>
      <c r="G67" s="143"/>
      <c r="H67" s="143"/>
      <c r="I67" s="143"/>
      <c r="J67" s="143"/>
    </row>
    <row r="68" spans="1:10">
      <c r="A68" s="143"/>
      <c r="B68" s="143"/>
      <c r="C68" s="143"/>
      <c r="D68" s="143"/>
      <c r="E68" s="143"/>
      <c r="F68" s="143"/>
      <c r="G68" s="143"/>
      <c r="H68" s="143"/>
      <c r="I68" s="143"/>
      <c r="J68" s="143"/>
    </row>
    <row r="69" spans="1:10" ht="18">
      <c r="A69" s="144" t="s">
        <v>3</v>
      </c>
      <c r="B69" s="143"/>
      <c r="C69" s="143"/>
      <c r="D69" s="143"/>
      <c r="E69" s="143"/>
      <c r="F69" s="143"/>
      <c r="G69" s="143"/>
      <c r="H69" s="143"/>
      <c r="I69" s="143"/>
      <c r="J69" s="143"/>
    </row>
    <row r="70" spans="1:10">
      <c r="A70" s="143"/>
      <c r="B70" s="143"/>
      <c r="C70" s="143"/>
      <c r="D70" s="143"/>
      <c r="E70" s="143"/>
      <c r="F70" s="143"/>
      <c r="G70" s="143"/>
      <c r="H70" s="143"/>
      <c r="I70" s="143"/>
      <c r="J70" s="143"/>
    </row>
    <row r="71" spans="1:10">
      <c r="A71" s="143"/>
      <c r="B71" s="143"/>
      <c r="C71" s="143"/>
      <c r="D71" s="143"/>
      <c r="E71" s="143"/>
      <c r="F71" s="143"/>
      <c r="G71" s="143"/>
      <c r="H71" s="143"/>
      <c r="I71" s="143"/>
      <c r="J71" s="143"/>
    </row>
    <row r="72" spans="1:10">
      <c r="A72" s="143"/>
      <c r="B72" s="143"/>
      <c r="C72" s="143"/>
      <c r="D72" s="143"/>
      <c r="E72" s="143"/>
      <c r="F72" s="143"/>
      <c r="G72" s="143"/>
      <c r="H72" s="143"/>
      <c r="I72" s="143"/>
      <c r="J72" s="143"/>
    </row>
    <row r="73" spans="1:10">
      <c r="A73" s="143"/>
      <c r="B73" s="143"/>
      <c r="C73" s="143"/>
      <c r="D73" s="143"/>
      <c r="E73" s="143"/>
      <c r="F73" s="143"/>
      <c r="G73" s="143"/>
      <c r="H73" s="143"/>
      <c r="I73" s="143"/>
      <c r="J73" s="143"/>
    </row>
    <row r="74" spans="1:10">
      <c r="A74" s="143"/>
      <c r="B74" s="143"/>
      <c r="C74" s="143"/>
      <c r="D74" s="143"/>
      <c r="E74" s="143"/>
      <c r="F74" s="143"/>
      <c r="G74" s="143"/>
      <c r="H74" s="143"/>
      <c r="I74" s="143"/>
      <c r="J74" s="143"/>
    </row>
    <row r="75" spans="1:10">
      <c r="A75" s="143"/>
      <c r="B75" s="143"/>
      <c r="C75" s="143"/>
      <c r="D75" s="143"/>
      <c r="E75" s="143"/>
      <c r="F75" s="143"/>
      <c r="G75" s="143"/>
      <c r="H75" s="143"/>
      <c r="I75" s="143"/>
      <c r="J75" s="143"/>
    </row>
    <row r="76" spans="1:10">
      <c r="A76" s="143"/>
      <c r="B76" s="143"/>
      <c r="C76" s="143"/>
      <c r="D76" s="143"/>
      <c r="E76" s="143"/>
      <c r="F76" s="143"/>
      <c r="G76" s="143"/>
      <c r="H76" s="143"/>
      <c r="I76" s="143"/>
      <c r="J76" s="143"/>
    </row>
    <row r="77" spans="1:10">
      <c r="A77" s="143"/>
      <c r="B77" s="143"/>
      <c r="C77" s="143"/>
      <c r="D77" s="143"/>
      <c r="E77" s="143"/>
      <c r="F77" s="143"/>
      <c r="G77" s="143"/>
      <c r="H77" s="143"/>
      <c r="I77" s="143"/>
      <c r="J77" s="143"/>
    </row>
    <row r="78" spans="1:10">
      <c r="A78" s="143"/>
      <c r="B78" s="143"/>
      <c r="C78" s="143"/>
      <c r="D78" s="143"/>
      <c r="E78" s="143"/>
      <c r="F78" s="143"/>
      <c r="G78" s="143"/>
      <c r="H78" s="143"/>
      <c r="I78" s="143"/>
      <c r="J78" s="143"/>
    </row>
    <row r="79" spans="1:10">
      <c r="A79" s="143"/>
      <c r="B79" s="143"/>
      <c r="C79" s="143"/>
      <c r="D79" s="143"/>
      <c r="E79" s="143"/>
      <c r="F79" s="143"/>
      <c r="G79" s="143"/>
      <c r="H79" s="143"/>
      <c r="I79" s="143"/>
      <c r="J79" s="143"/>
    </row>
    <row r="80" spans="1:10">
      <c r="A80" s="143"/>
      <c r="B80" s="143"/>
      <c r="C80" s="143"/>
      <c r="D80" s="143"/>
      <c r="E80" s="143"/>
      <c r="F80" s="143"/>
      <c r="G80" s="143"/>
      <c r="H80" s="143"/>
      <c r="I80" s="143"/>
      <c r="J80" s="143"/>
    </row>
    <row r="81" spans="1:10">
      <c r="A81" s="143"/>
      <c r="B81" s="143"/>
      <c r="C81" s="143"/>
      <c r="D81" s="143"/>
      <c r="E81" s="143"/>
      <c r="F81" s="143"/>
      <c r="G81" s="143"/>
      <c r="H81" s="143"/>
      <c r="I81" s="143"/>
      <c r="J81" s="143"/>
    </row>
    <row r="82" spans="1:10">
      <c r="A82" s="143"/>
      <c r="B82" s="143"/>
      <c r="C82" s="143"/>
      <c r="D82" s="143"/>
      <c r="E82" s="143"/>
      <c r="F82" s="143"/>
      <c r="G82" s="143"/>
      <c r="H82" s="143"/>
      <c r="I82" s="143"/>
      <c r="J82" s="143"/>
    </row>
    <row r="83" spans="1:10">
      <c r="A83" s="143"/>
      <c r="B83" s="143"/>
      <c r="C83" s="143"/>
      <c r="D83" s="143"/>
      <c r="E83" s="143"/>
      <c r="F83" s="143"/>
      <c r="G83" s="143"/>
      <c r="H83" s="143"/>
      <c r="I83" s="143"/>
      <c r="J83" s="143"/>
    </row>
    <row r="84" spans="1:10" ht="18">
      <c r="A84" s="144" t="s">
        <v>4</v>
      </c>
      <c r="B84" s="143"/>
      <c r="C84" s="143"/>
      <c r="D84" s="143"/>
      <c r="E84" s="143"/>
      <c r="F84" s="143"/>
      <c r="G84" s="143"/>
      <c r="H84" s="143"/>
      <c r="I84" s="143"/>
      <c r="J84" s="143"/>
    </row>
    <row r="85" spans="1:10">
      <c r="A85" s="143"/>
      <c r="B85" s="143"/>
      <c r="C85" s="143"/>
      <c r="D85" s="143"/>
      <c r="E85" s="143"/>
      <c r="F85" s="143"/>
      <c r="G85" s="143"/>
      <c r="H85" s="143"/>
      <c r="I85" s="143"/>
      <c r="J85" s="143"/>
    </row>
    <row r="86" spans="1:10">
      <c r="A86" s="143"/>
      <c r="B86" s="143"/>
      <c r="C86" s="143"/>
      <c r="D86" s="143"/>
      <c r="E86" s="143"/>
      <c r="F86" s="143"/>
      <c r="G86" s="143"/>
      <c r="H86" s="143"/>
      <c r="I86" s="143"/>
      <c r="J86" s="143"/>
    </row>
    <row r="87" spans="1:10">
      <c r="A87" s="143"/>
      <c r="B87" s="143"/>
      <c r="C87" s="143"/>
      <c r="D87" s="143"/>
      <c r="E87" s="143"/>
      <c r="F87" s="143"/>
      <c r="G87" s="143"/>
      <c r="H87" s="143"/>
      <c r="I87" s="143"/>
      <c r="J87" s="143"/>
    </row>
    <row r="88" spans="1:10">
      <c r="A88" s="143"/>
      <c r="B88" s="143"/>
      <c r="C88" s="143"/>
      <c r="D88" s="143"/>
      <c r="E88" s="143"/>
      <c r="F88" s="143"/>
      <c r="G88" s="143"/>
      <c r="H88" s="143"/>
      <c r="I88" s="143"/>
      <c r="J88" s="143"/>
    </row>
    <row r="89" spans="1:10">
      <c r="A89" s="143"/>
      <c r="B89" s="143"/>
      <c r="C89" s="143"/>
      <c r="D89" s="143"/>
      <c r="E89" s="143"/>
      <c r="F89" s="143"/>
      <c r="G89" s="143"/>
      <c r="H89" s="143"/>
      <c r="I89" s="143"/>
      <c r="J89" s="143"/>
    </row>
    <row r="90" spans="1:10">
      <c r="A90" s="143"/>
      <c r="B90" s="143"/>
      <c r="C90" s="143"/>
      <c r="D90" s="143"/>
      <c r="E90" s="143"/>
      <c r="F90" s="143"/>
      <c r="G90" s="143"/>
      <c r="H90" s="143"/>
      <c r="I90" s="143"/>
      <c r="J90" s="143"/>
    </row>
    <row r="91" spans="1:10">
      <c r="A91" s="143"/>
      <c r="B91" s="143"/>
      <c r="C91" s="143"/>
      <c r="D91" s="143"/>
      <c r="E91" s="143"/>
      <c r="F91" s="143"/>
      <c r="G91" s="143"/>
      <c r="H91" s="143"/>
      <c r="I91" s="143"/>
      <c r="J91" s="143"/>
    </row>
    <row r="92" spans="1:10">
      <c r="A92" s="143"/>
      <c r="B92" s="143"/>
      <c r="C92" s="143"/>
      <c r="D92" s="143"/>
      <c r="E92" s="143"/>
      <c r="F92" s="143"/>
      <c r="G92" s="143"/>
      <c r="H92" s="143"/>
      <c r="I92" s="143"/>
      <c r="J92" s="143"/>
    </row>
    <row r="93" spans="1:10">
      <c r="A93" s="143"/>
      <c r="B93" s="143"/>
      <c r="C93" s="143"/>
      <c r="D93" s="143"/>
      <c r="E93" s="143"/>
      <c r="F93" s="143"/>
      <c r="G93" s="143"/>
      <c r="H93" s="143"/>
      <c r="I93" s="143"/>
      <c r="J93" s="143"/>
    </row>
    <row r="94" spans="1:10">
      <c r="A94" s="143"/>
      <c r="B94" s="143"/>
      <c r="C94" s="143"/>
      <c r="D94" s="143"/>
      <c r="E94" s="143"/>
      <c r="F94" s="143"/>
      <c r="G94" s="143"/>
      <c r="H94" s="143"/>
      <c r="I94" s="143"/>
      <c r="J94" s="143"/>
    </row>
    <row r="95" spans="1:10">
      <c r="A95" s="143"/>
      <c r="B95" s="143"/>
      <c r="C95" s="143"/>
      <c r="D95" s="143"/>
      <c r="E95" s="143"/>
      <c r="F95" s="143"/>
      <c r="G95" s="143"/>
      <c r="H95" s="143"/>
      <c r="I95" s="143"/>
      <c r="J95" s="143"/>
    </row>
    <row r="96" spans="1:10">
      <c r="A96" s="143"/>
      <c r="B96" s="143"/>
      <c r="C96" s="143"/>
      <c r="D96" s="143"/>
      <c r="E96" s="143"/>
      <c r="F96" s="143"/>
      <c r="G96" s="143"/>
      <c r="H96" s="143"/>
      <c r="I96" s="143"/>
      <c r="J96" s="143"/>
    </row>
    <row r="97" spans="1:10">
      <c r="A97" s="143"/>
      <c r="B97" s="143"/>
      <c r="C97" s="143"/>
      <c r="D97" s="143"/>
      <c r="E97" s="143"/>
      <c r="F97" s="143"/>
      <c r="G97" s="143"/>
      <c r="H97" s="143"/>
      <c r="I97" s="143"/>
      <c r="J97" s="143"/>
    </row>
    <row r="98" spans="1:10">
      <c r="A98" s="143"/>
      <c r="B98" s="143"/>
      <c r="C98" s="143"/>
      <c r="D98" s="143"/>
      <c r="E98" s="143"/>
      <c r="F98" s="143"/>
      <c r="G98" s="143"/>
      <c r="H98" s="143"/>
      <c r="I98" s="143"/>
      <c r="J98" s="143"/>
    </row>
    <row r="99" spans="1:10">
      <c r="A99" s="143"/>
      <c r="B99" s="143"/>
      <c r="C99" s="143"/>
      <c r="D99" s="143"/>
      <c r="E99" s="143"/>
      <c r="F99" s="143"/>
      <c r="G99" s="143"/>
      <c r="H99" s="143"/>
      <c r="I99" s="143"/>
      <c r="J99" s="143"/>
    </row>
    <row r="100" spans="1:10">
      <c r="A100" s="143"/>
      <c r="B100" s="143"/>
      <c r="C100" s="143"/>
      <c r="D100" s="143"/>
      <c r="E100" s="143"/>
      <c r="F100" s="143"/>
      <c r="G100" s="143"/>
      <c r="H100" s="143"/>
      <c r="I100" s="143"/>
      <c r="J100" s="143"/>
    </row>
    <row r="101" spans="1:10">
      <c r="A101" s="143"/>
      <c r="B101" s="143"/>
      <c r="C101" s="143"/>
      <c r="D101" s="143"/>
      <c r="E101" s="143"/>
      <c r="F101" s="143"/>
      <c r="G101" s="143"/>
      <c r="H101" s="143"/>
      <c r="I101" s="143"/>
      <c r="J101" s="143"/>
    </row>
  </sheetData>
  <pageMargins left="0.7" right="0.7" top="0.75" bottom="0.75" header="0.3" footer="0.3"/>
  <pageSetup scale="8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0" t="s">
        <v>714</v>
      </c>
    </row>
    <row r="7" spans="2:10" ht="20.25">
      <c r="B7" s="9"/>
      <c r="C7" s="40" t="s">
        <v>7</v>
      </c>
    </row>
    <row r="8" spans="2:10" ht="20.25">
      <c r="B8" s="8" t="s">
        <v>8</v>
      </c>
      <c r="C8" s="37" t="str">
        <f>IFERROR(INDEX(#REF!,MATCH(City,#REF!,0)),"(not found)")</f>
        <v>(not found)</v>
      </c>
    </row>
    <row r="9" spans="2:10" ht="20.25">
      <c r="B9" s="8"/>
      <c r="C9" s="37" t="str">
        <f>IFERROR(INDEX(#REF!,MATCH(County,#REF!,0)),"(not found)")</f>
        <v>(not found)</v>
      </c>
    </row>
    <row r="11" spans="2:10" ht="20.25">
      <c r="B11" s="8" t="s">
        <v>9</v>
      </c>
      <c r="C11" s="41" t="str">
        <f>IFERROR(INDEX(#REF!,MATCH(City,#REF!,0)),"(not found)")</f>
        <v>(not found)</v>
      </c>
    </row>
    <row r="12" spans="2:10" ht="20.25">
      <c r="B12" s="8"/>
      <c r="C12" s="41" t="str">
        <f>IFERROR(INDEX(#REF!,MATCH(County,#REF!,0)),"(not found)")</f>
        <v>(not found)</v>
      </c>
    </row>
    <row r="14" spans="2:10" ht="20.25">
      <c r="B14" s="8" t="s">
        <v>10</v>
      </c>
      <c r="C14" s="41" t="str">
        <f>SUBSTITUTE(SUBSTITUTE(SUBSTITUTE(City, " city, Washington", ""), " town, Washington", ""), " CDP, Washington", "")</f>
        <v>Algona</v>
      </c>
    </row>
    <row r="15" spans="2:10" ht="20.25">
      <c r="B15" s="8"/>
      <c r="C15" s="41" t="str">
        <f>SUBSTITUTE(County,", Washington","")</f>
        <v>King County</v>
      </c>
    </row>
    <row r="17" spans="2:10" ht="20.25">
      <c r="B17" s="8" t="s">
        <v>11</v>
      </c>
      <c r="C17" s="150">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54" t="s">
        <v>12</v>
      </c>
      <c r="C27" s="54"/>
      <c r="D27" s="54"/>
      <c r="E27" s="54"/>
      <c r="F27" s="54"/>
      <c r="G27" s="54"/>
      <c r="H27" s="54"/>
      <c r="I27" s="54"/>
      <c r="J27" s="54"/>
    </row>
    <row r="28" spans="2:10" ht="15" thickTop="1">
      <c r="C28"/>
      <c r="D28"/>
    </row>
    <row r="29" spans="2:10">
      <c r="B29" s="10" t="s">
        <v>13</v>
      </c>
      <c r="C29"/>
      <c r="D29"/>
    </row>
    <row r="30" spans="2:10">
      <c r="B30" s="10" t="s">
        <v>14</v>
      </c>
      <c r="C30"/>
      <c r="D30"/>
    </row>
    <row r="31" spans="2:10">
      <c r="B31" s="10" t="s">
        <v>15</v>
      </c>
      <c r="C31"/>
      <c r="D31"/>
    </row>
    <row r="32" spans="2:10">
      <c r="B32" s="10" t="s">
        <v>16</v>
      </c>
      <c r="C32"/>
      <c r="D32"/>
    </row>
    <row r="33" spans="2:10">
      <c r="B33" s="10" t="s">
        <v>17</v>
      </c>
      <c r="C33"/>
      <c r="D33"/>
    </row>
    <row r="34" spans="2:10">
      <c r="B34" s="10"/>
      <c r="C34"/>
      <c r="D34"/>
    </row>
    <row r="36" spans="2:10" ht="17.25" thickBot="1">
      <c r="B36" s="14" t="s">
        <v>18</v>
      </c>
      <c r="C36" s="14"/>
      <c r="D36" s="14"/>
      <c r="E36" s="14"/>
      <c r="F36" s="14"/>
      <c r="G36" s="14"/>
      <c r="H36" s="14"/>
      <c r="I36" s="14"/>
      <c r="J36" s="14"/>
    </row>
    <row r="37" spans="2:10" ht="15" thickTop="1"/>
    <row r="38" spans="2:10" ht="15">
      <c r="B38" s="13" t="s">
        <v>19</v>
      </c>
      <c r="C38" s="13" t="s">
        <v>20</v>
      </c>
      <c r="D38" s="13" t="s">
        <v>21</v>
      </c>
      <c r="E38" s="13" t="s">
        <v>22</v>
      </c>
      <c r="F38" s="13" t="s">
        <v>23</v>
      </c>
      <c r="G38" s="13" t="s">
        <v>24</v>
      </c>
      <c r="H38" s="13"/>
      <c r="I38" s="13"/>
      <c r="J38" s="13" t="s">
        <v>25</v>
      </c>
    </row>
    <row r="39" spans="2:10">
      <c r="J39" s="34" t="s">
        <v>26</v>
      </c>
    </row>
    <row r="40" spans="2:10" ht="15">
      <c r="B40" s="17" t="s">
        <v>27</v>
      </c>
      <c r="E40" s="12"/>
      <c r="J40" s="34" t="s">
        <v>26</v>
      </c>
    </row>
    <row r="41" spans="2:10">
      <c r="B41" s="7" t="s">
        <v>28</v>
      </c>
      <c r="C41" s="7" t="s">
        <v>28</v>
      </c>
      <c r="D41" s="7" t="s">
        <v>29</v>
      </c>
      <c r="E41" s="12">
        <v>44826</v>
      </c>
      <c r="F41" s="7" t="s">
        <v>30</v>
      </c>
      <c r="G41" s="7" t="s">
        <v>31</v>
      </c>
      <c r="J41" s="34" t="s">
        <v>26</v>
      </c>
    </row>
    <row r="42" spans="2:10">
      <c r="B42" s="7" t="s">
        <v>32</v>
      </c>
      <c r="C42" s="7" t="s">
        <v>33</v>
      </c>
      <c r="D42" s="7" t="s">
        <v>29</v>
      </c>
      <c r="E42" s="12">
        <v>44840</v>
      </c>
      <c r="F42" s="7" t="s">
        <v>30</v>
      </c>
      <c r="G42" s="7" t="s">
        <v>34</v>
      </c>
      <c r="J42" s="34" t="s">
        <v>26</v>
      </c>
    </row>
    <row r="43" spans="2:10">
      <c r="B43" s="7" t="s">
        <v>35</v>
      </c>
      <c r="C43" s="7" t="s">
        <v>36</v>
      </c>
      <c r="D43" s="7" t="s">
        <v>29</v>
      </c>
      <c r="E43" s="12">
        <v>44840</v>
      </c>
      <c r="F43" s="7" t="s">
        <v>30</v>
      </c>
      <c r="G43" s="7" t="s">
        <v>34</v>
      </c>
      <c r="J43" s="34" t="s">
        <v>26</v>
      </c>
    </row>
    <row r="44" spans="2:10">
      <c r="B44" s="7" t="s">
        <v>37</v>
      </c>
      <c r="C44" s="7" t="s">
        <v>38</v>
      </c>
      <c r="D44" s="7" t="s">
        <v>29</v>
      </c>
      <c r="E44" s="12">
        <v>44840</v>
      </c>
      <c r="F44" s="7" t="s">
        <v>30</v>
      </c>
      <c r="G44" s="7" t="s">
        <v>39</v>
      </c>
      <c r="J44" s="34" t="s">
        <v>26</v>
      </c>
    </row>
    <row r="45" spans="2:10">
      <c r="B45" s="7" t="s">
        <v>40</v>
      </c>
      <c r="C45" s="7" t="s">
        <v>41</v>
      </c>
      <c r="D45" s="7" t="s">
        <v>29</v>
      </c>
      <c r="E45" s="12">
        <v>44840</v>
      </c>
      <c r="F45" s="7" t="s">
        <v>30</v>
      </c>
      <c r="G45" s="7" t="s">
        <v>39</v>
      </c>
      <c r="J45" s="34" t="s">
        <v>26</v>
      </c>
    </row>
    <row r="46" spans="2:10">
      <c r="E46" s="12"/>
      <c r="J46" s="34" t="s">
        <v>26</v>
      </c>
    </row>
    <row r="47" spans="2:10" ht="15">
      <c r="B47" s="17" t="s">
        <v>42</v>
      </c>
      <c r="E47" s="12"/>
      <c r="J47" s="34" t="s">
        <v>26</v>
      </c>
    </row>
    <row r="48" spans="2:10">
      <c r="B48" s="7" t="s">
        <v>43</v>
      </c>
      <c r="C48" s="7" t="s">
        <v>44</v>
      </c>
      <c r="D48" s="7" t="s">
        <v>45</v>
      </c>
      <c r="E48" s="12">
        <v>44826</v>
      </c>
      <c r="F48" s="15" t="s">
        <v>46</v>
      </c>
      <c r="G48" s="7" t="s">
        <v>47</v>
      </c>
      <c r="J48" s="10" t="s">
        <v>48</v>
      </c>
    </row>
    <row r="49" spans="2:10">
      <c r="B49" s="7" t="s">
        <v>49</v>
      </c>
      <c r="C49" s="7" t="s">
        <v>50</v>
      </c>
      <c r="D49" s="7" t="s">
        <v>45</v>
      </c>
      <c r="E49" s="12">
        <v>44826</v>
      </c>
      <c r="F49" s="15" t="s">
        <v>46</v>
      </c>
      <c r="G49" s="7" t="s">
        <v>51</v>
      </c>
      <c r="J49" s="10" t="s">
        <v>52</v>
      </c>
    </row>
    <row r="50" spans="2:10">
      <c r="E50" s="12"/>
      <c r="J50" s="34" t="s">
        <v>26</v>
      </c>
    </row>
    <row r="51" spans="2:10" ht="15">
      <c r="B51" s="17" t="s">
        <v>53</v>
      </c>
      <c r="E51" s="12"/>
      <c r="J51" s="34" t="s">
        <v>26</v>
      </c>
    </row>
    <row r="52" spans="2:10">
      <c r="B52" s="7" t="s">
        <v>54</v>
      </c>
      <c r="D52" s="7" t="s">
        <v>55</v>
      </c>
      <c r="E52" s="12"/>
      <c r="J52" s="34" t="s">
        <v>26</v>
      </c>
    </row>
    <row r="53" spans="2:10">
      <c r="B53" s="10" t="s">
        <v>56</v>
      </c>
      <c r="E53" s="12">
        <v>44830</v>
      </c>
      <c r="F53" s="15" t="s">
        <v>57</v>
      </c>
      <c r="J53" s="182" t="s">
        <v>58</v>
      </c>
    </row>
    <row r="54" spans="2:10">
      <c r="B54" s="10" t="s">
        <v>59</v>
      </c>
      <c r="E54" s="12">
        <v>44830</v>
      </c>
      <c r="F54" s="15" t="s">
        <v>60</v>
      </c>
      <c r="J54" s="182" t="s">
        <v>58</v>
      </c>
    </row>
    <row r="55" spans="2:10">
      <c r="B55" s="7" t="s">
        <v>61</v>
      </c>
      <c r="D55" s="7" t="s">
        <v>55</v>
      </c>
      <c r="E55" s="12"/>
      <c r="J55" s="34" t="s">
        <v>26</v>
      </c>
    </row>
    <row r="56" spans="2:10">
      <c r="B56" s="10" t="s">
        <v>56</v>
      </c>
      <c r="E56" s="12">
        <v>44830</v>
      </c>
      <c r="F56" s="15" t="s">
        <v>62</v>
      </c>
      <c r="J56" s="182" t="s">
        <v>63</v>
      </c>
    </row>
    <row r="57" spans="2:10">
      <c r="B57" s="10" t="s">
        <v>59</v>
      </c>
      <c r="E57" s="12">
        <v>44830</v>
      </c>
      <c r="F57" s="15" t="s">
        <v>64</v>
      </c>
      <c r="J57" s="182" t="s">
        <v>63</v>
      </c>
    </row>
    <row r="58" spans="2:10">
      <c r="J58" s="34" t="s">
        <v>26</v>
      </c>
    </row>
    <row r="59" spans="2:10">
      <c r="B59" s="7" t="s">
        <v>65</v>
      </c>
      <c r="C59" s="7" t="s">
        <v>66</v>
      </c>
      <c r="D59" s="7" t="s">
        <v>55</v>
      </c>
      <c r="E59" s="12">
        <v>44830</v>
      </c>
      <c r="G59" s="7" t="s">
        <v>67</v>
      </c>
      <c r="J59" s="182" t="s">
        <v>68</v>
      </c>
    </row>
    <row r="60" spans="2:10">
      <c r="B60" s="7" t="s">
        <v>69</v>
      </c>
      <c r="C60" s="7" t="s">
        <v>70</v>
      </c>
      <c r="D60" s="7" t="s">
        <v>55</v>
      </c>
      <c r="E60" s="12">
        <v>44830</v>
      </c>
      <c r="G60" s="7" t="s">
        <v>71</v>
      </c>
      <c r="J60" s="182" t="s">
        <v>68</v>
      </c>
    </row>
    <row r="61" spans="2:10">
      <c r="B61" s="7" t="s">
        <v>72</v>
      </c>
      <c r="C61" s="7" t="s">
        <v>73</v>
      </c>
      <c r="D61" s="7" t="s">
        <v>55</v>
      </c>
      <c r="E61" s="12">
        <v>44830</v>
      </c>
      <c r="G61" s="7" t="s">
        <v>74</v>
      </c>
      <c r="J61" s="182" t="s">
        <v>75</v>
      </c>
    </row>
    <row r="62" spans="2:10">
      <c r="B62" s="7" t="s">
        <v>76</v>
      </c>
      <c r="C62" s="7" t="s">
        <v>77</v>
      </c>
      <c r="D62" s="7" t="s">
        <v>55</v>
      </c>
      <c r="E62" s="12">
        <v>44830</v>
      </c>
      <c r="G62" s="7" t="s">
        <v>78</v>
      </c>
      <c r="J62" s="182" t="s">
        <v>75</v>
      </c>
    </row>
    <row r="63" spans="2:10">
      <c r="B63" s="7" t="s">
        <v>79</v>
      </c>
      <c r="C63" s="7" t="s">
        <v>80</v>
      </c>
      <c r="D63" s="7" t="s">
        <v>55</v>
      </c>
      <c r="E63" s="12">
        <v>44830</v>
      </c>
      <c r="G63" s="7" t="s">
        <v>81</v>
      </c>
      <c r="J63" s="10" t="s">
        <v>82</v>
      </c>
    </row>
    <row r="64" spans="2:10">
      <c r="B64" s="7" t="s">
        <v>83</v>
      </c>
      <c r="C64" s="7" t="s">
        <v>84</v>
      </c>
      <c r="D64" s="7" t="s">
        <v>55</v>
      </c>
      <c r="E64" s="12">
        <v>44830</v>
      </c>
      <c r="G64" s="7" t="s">
        <v>85</v>
      </c>
      <c r="J64" s="10" t="s">
        <v>82</v>
      </c>
    </row>
    <row r="65" spans="2:10">
      <c r="B65" s="7" t="s">
        <v>86</v>
      </c>
      <c r="C65" s="7" t="s">
        <v>87</v>
      </c>
      <c r="D65" s="7" t="s">
        <v>55</v>
      </c>
      <c r="E65" s="12">
        <v>44830</v>
      </c>
      <c r="G65" s="7" t="s">
        <v>88</v>
      </c>
      <c r="J65" s="10" t="s">
        <v>89</v>
      </c>
    </row>
    <row r="66" spans="2:10">
      <c r="B66" s="7" t="s">
        <v>90</v>
      </c>
      <c r="C66" s="7" t="s">
        <v>91</v>
      </c>
      <c r="D66" s="7" t="s">
        <v>55</v>
      </c>
      <c r="E66" s="12">
        <v>44830</v>
      </c>
      <c r="G66" s="7" t="s">
        <v>92</v>
      </c>
      <c r="J66" s="10" t="s">
        <v>89</v>
      </c>
    </row>
    <row r="67" spans="2:10">
      <c r="B67" s="7" t="s">
        <v>93</v>
      </c>
      <c r="C67" s="7" t="s">
        <v>94</v>
      </c>
      <c r="D67" s="7" t="s">
        <v>55</v>
      </c>
      <c r="E67" s="12">
        <v>44830</v>
      </c>
      <c r="G67" s="7" t="s">
        <v>95</v>
      </c>
      <c r="J67" s="10" t="s">
        <v>96</v>
      </c>
    </row>
    <row r="68" spans="2:10">
      <c r="B68" s="7" t="s">
        <v>97</v>
      </c>
      <c r="C68" s="7" t="s">
        <v>98</v>
      </c>
      <c r="D68" s="7" t="s">
        <v>55</v>
      </c>
      <c r="E68" s="12">
        <v>44830</v>
      </c>
      <c r="G68" s="7" t="s">
        <v>99</v>
      </c>
      <c r="J68" s="10" t="s">
        <v>96</v>
      </c>
    </row>
    <row r="69" spans="2:10">
      <c r="H69" s="34" t="s">
        <v>26</v>
      </c>
    </row>
    <row r="70" spans="2:10">
      <c r="H70" s="34" t="s">
        <v>26</v>
      </c>
    </row>
    <row r="71" spans="2:10">
      <c r="H71" s="34" t="s">
        <v>26</v>
      </c>
    </row>
    <row r="72" spans="2:10" ht="17.25" thickBot="1">
      <c r="B72" s="14" t="s">
        <v>100</v>
      </c>
      <c r="C72" s="14"/>
      <c r="D72" s="14"/>
      <c r="E72" s="14"/>
      <c r="F72" s="14"/>
      <c r="G72" s="14"/>
      <c r="H72" s="14"/>
      <c r="I72" s="14"/>
      <c r="J72" s="14"/>
    </row>
    <row r="73" spans="2:10" ht="15" thickTop="1">
      <c r="H73" s="34" t="s">
        <v>26</v>
      </c>
    </row>
    <row r="74" spans="2:10" ht="15">
      <c r="B74" s="281" t="s">
        <v>101</v>
      </c>
      <c r="C74" s="281"/>
      <c r="D74" s="281"/>
      <c r="E74" s="281"/>
      <c r="H74" s="34" t="s">
        <v>26</v>
      </c>
    </row>
    <row r="75" spans="2:10">
      <c r="B75" s="280" t="s">
        <v>102</v>
      </c>
      <c r="C75" s="280"/>
      <c r="D75" s="280"/>
      <c r="E75" s="184" t="s">
        <v>103</v>
      </c>
      <c r="H75" s="34"/>
    </row>
    <row r="76" spans="2:10">
      <c r="B76" s="7" t="str">
        <f>'Racial Composition'!C5</f>
        <v>Table 1. Racial composition of Algona and King County, 2015 and 2020</v>
      </c>
      <c r="E76" s="7" t="s">
        <v>104</v>
      </c>
      <c r="H76" s="34" t="s">
        <v>26</v>
      </c>
    </row>
    <row r="77" spans="2:10">
      <c r="B77" s="7" t="str">
        <f>'Racial Composition'!C74</f>
        <v>Table 2. Racial composition percentage of Algona and King County 2015 and 2020</v>
      </c>
      <c r="E77" s="7" t="s">
        <v>104</v>
      </c>
    </row>
    <row r="78" spans="2:10">
      <c r="B78" s="7" t="str">
        <f>'Cost Burden'!C4</f>
        <v>Table 3. Algona number of households by housing cost burden, 2019</v>
      </c>
      <c r="E78" s="7" t="s">
        <v>105</v>
      </c>
    </row>
    <row r="79" spans="2:10">
      <c r="B79" s="7" t="str">
        <f>'Cost Burden'!C173</f>
        <v>Table 4. Algona percentage of households by housing cost burden, 2019</v>
      </c>
      <c r="E79" s="7" t="s">
        <v>105</v>
      </c>
    </row>
    <row r="80" spans="2:10">
      <c r="B80" s="7" t="str">
        <f>'Rental Affordability'!C5</f>
        <v>Table 5. Algona and King County rental units by affordability and households by income, 2019</v>
      </c>
      <c r="E80" s="7" t="s">
        <v>106</v>
      </c>
    </row>
    <row r="81" spans="2:5">
      <c r="B81" s="7" t="str">
        <f>Income!B6</f>
        <v>Table 6. Algona count of households by income and race, 2019</v>
      </c>
      <c r="E81" s="7" t="s">
        <v>107</v>
      </c>
    </row>
    <row r="82" spans="2:5">
      <c r="B82" s="7" t="str">
        <f>Income!B119</f>
        <v>Table 7. Algona five year change in households by income and race, 2014 - 2019</v>
      </c>
      <c r="E82" s="7" t="s">
        <v>107</v>
      </c>
    </row>
    <row r="83" spans="2:5">
      <c r="B83" s="7" t="str">
        <f>Income!B146</f>
        <v>Table 8. Algona five year change in distribution of households by income and race, 2014 - 2019</v>
      </c>
      <c r="E83" s="7" t="s">
        <v>107</v>
      </c>
    </row>
    <row r="84" spans="2:5">
      <c r="B84" s="7" t="str">
        <f>Tenure!B5</f>
        <v>Table 9. Algona count of owner and renter households by racial group, 2019</v>
      </c>
      <c r="E84" s="7" t="s">
        <v>108</v>
      </c>
    </row>
    <row r="86" spans="2:5" ht="15">
      <c r="B86" s="281" t="s">
        <v>109</v>
      </c>
      <c r="C86" s="281"/>
      <c r="D86" s="281"/>
      <c r="E86" s="281"/>
    </row>
    <row r="87" spans="2:5">
      <c r="B87" s="10" t="s">
        <v>110</v>
      </c>
    </row>
    <row r="88" spans="2:5">
      <c r="B88" s="7" t="str">
        <f>'Racial Composition'!C29</f>
        <v>Chart 1. Algona population by race and Hispanic or Latino ethnicity, 2020</v>
      </c>
      <c r="E88" s="7" t="s">
        <v>104</v>
      </c>
    </row>
    <row r="89" spans="2:5">
      <c r="B89" s="7" t="str">
        <f>'Racial Composition'!C56</f>
        <v>Chart 1a. Algona population by race and Hispanic ethnicity, 2020</v>
      </c>
      <c r="E89" s="7" t="s">
        <v>104</v>
      </c>
    </row>
    <row r="90" spans="2:5">
      <c r="B90" s="7" t="str">
        <f>'Racial Composition'!C87</f>
        <v>Chart 2. Racial composition of Algona and King County, 2020</v>
      </c>
      <c r="E90" s="7" t="s">
        <v>104</v>
      </c>
    </row>
    <row r="91" spans="2:5">
      <c r="B91" s="7" t="str">
        <f>'Racial Composition'!C113</f>
        <v>Chart 2a. Racial composition of Algona and King County, 2020</v>
      </c>
      <c r="E91" s="7" t="s">
        <v>104</v>
      </c>
    </row>
    <row r="92" spans="2:5">
      <c r="B92" s="7" t="str">
        <f>'Racial Composition'!C138</f>
        <v>Chart 3. Racial composition of Algona and King County, 2015 and 2020</v>
      </c>
      <c r="E92" s="7" t="s">
        <v>104</v>
      </c>
    </row>
    <row r="93" spans="2:5">
      <c r="B93" s="7" t="str">
        <f>'Cost Burden'!C29</f>
        <v>Chart 4. Algona total housing cost burden by racial and ethnic group, 2019</v>
      </c>
      <c r="E93" s="7" t="s">
        <v>105</v>
      </c>
    </row>
    <row r="94" spans="2:5">
      <c r="B94" s="7" t="str">
        <f>'Cost Burden'!C53</f>
        <v>Chart 4a. Algona total housing cost burden by racial and ethnic group, 2019</v>
      </c>
      <c r="E94" s="7" t="s">
        <v>105</v>
      </c>
    </row>
    <row r="95" spans="2:5">
      <c r="B95" s="7" t="str">
        <f>'Cost Burden'!C76</f>
        <v>Chart 5. Algona number of owner households by race and cost burden, 2019</v>
      </c>
      <c r="E95" s="7" t="s">
        <v>105</v>
      </c>
    </row>
    <row r="96" spans="2:5">
      <c r="B96" s="7" t="str">
        <f>'Cost Burden'!C100</f>
        <v>Chart 5a. Algona number of owner households by race and cost burden, 2019</v>
      </c>
      <c r="E96" s="7" t="s">
        <v>105</v>
      </c>
    </row>
    <row r="97" spans="2:5">
      <c r="B97" s="7" t="str">
        <f>'Cost Burden'!C124</f>
        <v>Chart 6. Algona renter households by race and cost burden, 2019</v>
      </c>
      <c r="E97" s="7" t="s">
        <v>105</v>
      </c>
    </row>
    <row r="98" spans="2:5">
      <c r="B98" s="7" t="str">
        <f>'Cost Burden'!C148</f>
        <v>Chart 6a. Algona renter households by race and cost burden, 2019</v>
      </c>
      <c r="E98" s="7" t="s">
        <v>105</v>
      </c>
    </row>
    <row r="99" spans="2:5">
      <c r="B99" s="7" t="str">
        <f>'Cost Burden'!C202</f>
        <v>Chart 7. Algona percent of all households experiencing housing cost burden, 2019</v>
      </c>
      <c r="E99" s="7" t="s">
        <v>105</v>
      </c>
    </row>
    <row r="100" spans="2:5">
      <c r="B100" s="7" t="str">
        <f>'Cost Burden'!C228</f>
        <v>Chart 7a. Algona percent of all households experiencing housing cost burden, 2019</v>
      </c>
      <c r="E100" s="7" t="s">
        <v>105</v>
      </c>
    </row>
    <row r="101" spans="2:5">
      <c r="B101" s="7" t="str">
        <f>'Cost Burden'!C246</f>
        <v>Chart 8. Algona percent owner households experiencing housing cost burden, 2019</v>
      </c>
      <c r="E101" s="7" t="s">
        <v>105</v>
      </c>
    </row>
    <row r="102" spans="2:5">
      <c r="B102" s="7" t="str">
        <f>'Cost Burden'!C272</f>
        <v>Chart 8a. Algona percent owner households experiencing housing cost burden, 2019</v>
      </c>
      <c r="E102" s="7" t="s">
        <v>105</v>
      </c>
    </row>
    <row r="103" spans="2:5">
      <c r="B103" s="7" t="str">
        <f>'Cost Burden'!C291</f>
        <v>Chart 9. Algona percent renter households experiencing housing cost burden, 2019</v>
      </c>
      <c r="E103" s="7" t="s">
        <v>105</v>
      </c>
    </row>
    <row r="104" spans="2:5">
      <c r="B104" s="7" t="str">
        <f>'Cost Burden'!C317</f>
        <v>Chart 9a. Algona percent renter households experiencing housing cost burden, 2019</v>
      </c>
      <c r="E104" s="7" t="s">
        <v>105</v>
      </c>
    </row>
    <row r="105" spans="2:5">
      <c r="B105" s="7" t="str">
        <f>'Rental Affordability'!C20</f>
        <v>Chart 10. Algona and King County renter household income compared to rental unit affordability, 2019</v>
      </c>
      <c r="E105" s="7" t="s">
        <v>106</v>
      </c>
    </row>
    <row r="106" spans="2:5">
      <c r="B106" s="7" t="str">
        <f>'Rental Affordability'!C45</f>
        <v>Chart 11. Algona renter households by income compared to rental units by affordability, 2019</v>
      </c>
      <c r="E106" s="7" t="s">
        <v>106</v>
      </c>
    </row>
    <row r="107" spans="2:5">
      <c r="B107" s="7" t="str">
        <f>'Rental Affordability'!C78</f>
        <v>Chart 12. Algona five year change in renter households by income and rental units by affordability, 2014 - 2019</v>
      </c>
      <c r="E107" s="7" t="s">
        <v>106</v>
      </c>
    </row>
    <row r="108" spans="2:5">
      <c r="B108" s="7" t="str">
        <f>Income!B31</f>
        <v>Chart 13. Algona number of households by income category and race, 2019</v>
      </c>
      <c r="E108" s="7" t="s">
        <v>107</v>
      </c>
    </row>
    <row r="109" spans="2:5">
      <c r="B109" s="7" t="str">
        <f>Income!B55</f>
        <v>Chart 13a. Algona number of households by income category and race, 2019</v>
      </c>
      <c r="E109" s="7" t="s">
        <v>107</v>
      </c>
    </row>
    <row r="110" spans="2:5">
      <c r="B110" s="7" t="str">
        <f>Income!B78</f>
        <v>Chart 14. Algona distribution of households by income and race or ethnicity, 2019</v>
      </c>
      <c r="E110" s="7" t="s">
        <v>107</v>
      </c>
    </row>
    <row r="111" spans="2:5">
      <c r="B111" s="7" t="str">
        <f>Income!B100</f>
        <v>Chart 14a. Algona distribution of households by income and race or ethnicity, 2019</v>
      </c>
      <c r="E111" s="7" t="s">
        <v>107</v>
      </c>
    </row>
    <row r="112" spans="2:5">
      <c r="B112" s="7" t="str">
        <f>Income!B172</f>
        <v>Chart 15. Algona percentage of all households by income category and race, (2010 - 2014 vs 2015 - 2019)</v>
      </c>
      <c r="E112" s="7" t="s">
        <v>107</v>
      </c>
    </row>
    <row r="113" spans="2:5">
      <c r="B113" s="7" t="str">
        <f>Tenure!B22</f>
        <v>Chart 16. Algona total number of owner and renter households by race and ethnicity, 2019</v>
      </c>
      <c r="E113" s="7" t="s">
        <v>108</v>
      </c>
    </row>
    <row r="114" spans="2:5">
      <c r="B114" s="7" t="str">
        <f>Tenure!B47</f>
        <v>Chart 16a. Algona total number of owner and renter households by race and ethnicity, 2019</v>
      </c>
      <c r="E114" s="7" t="s">
        <v>108</v>
      </c>
    </row>
    <row r="115" spans="2:5">
      <c r="B115" s="7" t="str">
        <f>Tenure!B69</f>
        <v xml:space="preserve">Chart 17. Algona percent owner and renter households by race and ethnicity, 2019 </v>
      </c>
      <c r="E115" s="7" t="s">
        <v>108</v>
      </c>
    </row>
    <row r="116" spans="2:5">
      <c r="B116" s="7" t="str">
        <f>Tenure!B95</f>
        <v xml:space="preserve">Chart 17a. Algona percent owner and renter households by race and ethnicity, 2019 </v>
      </c>
      <c r="E116" s="7" t="s">
        <v>108</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D26" sqref="D26:J27"/>
    </sheetView>
  </sheetViews>
  <sheetFormatPr defaultRowHeight="14.25"/>
  <cols>
    <col min="4" max="10" width="8.375" customWidth="1"/>
    <col min="15" max="21" width="8.375" customWidth="1"/>
  </cols>
  <sheetData>
    <row r="1" spans="1:21">
      <c r="A1" s="141"/>
      <c r="B1" s="141"/>
      <c r="C1" s="141"/>
      <c r="D1" s="141"/>
      <c r="E1" s="141"/>
      <c r="F1" s="141"/>
      <c r="G1" s="141"/>
      <c r="H1" s="141"/>
      <c r="I1" s="141"/>
      <c r="J1" s="141"/>
      <c r="L1" s="141"/>
      <c r="M1" s="141"/>
      <c r="N1" s="141"/>
      <c r="O1" s="141"/>
      <c r="P1" s="141"/>
      <c r="Q1" s="141"/>
      <c r="R1" s="141"/>
      <c r="S1" s="141"/>
      <c r="T1" s="141"/>
      <c r="U1" s="141"/>
    </row>
    <row r="2" spans="1:21" ht="18">
      <c r="A2" s="142" t="s">
        <v>111</v>
      </c>
      <c r="B2" s="141"/>
      <c r="C2" s="141"/>
      <c r="D2" s="141"/>
      <c r="E2" s="141"/>
      <c r="F2" s="141"/>
      <c r="G2" s="141"/>
      <c r="H2" s="141"/>
      <c r="I2" s="141"/>
      <c r="J2" s="141"/>
      <c r="L2" s="142" t="s">
        <v>112</v>
      </c>
      <c r="M2" s="141"/>
      <c r="N2" s="141"/>
      <c r="O2" s="141"/>
      <c r="P2" s="141"/>
      <c r="Q2" s="141"/>
      <c r="R2" s="141"/>
      <c r="S2" s="141"/>
      <c r="T2" s="141"/>
      <c r="U2" s="141"/>
    </row>
    <row r="3" spans="1:21">
      <c r="A3" s="141"/>
      <c r="B3" s="141"/>
      <c r="C3" s="141"/>
      <c r="D3" s="141"/>
      <c r="E3" s="141"/>
      <c r="F3" s="141"/>
      <c r="G3" s="141"/>
      <c r="H3" s="141"/>
      <c r="I3" s="141"/>
      <c r="J3" s="141"/>
      <c r="L3" s="141"/>
      <c r="M3" s="141"/>
      <c r="N3" s="141"/>
      <c r="O3" s="141"/>
      <c r="P3" s="141"/>
      <c r="Q3" s="141"/>
      <c r="R3" s="141"/>
      <c r="S3" s="141"/>
      <c r="T3" s="141"/>
      <c r="U3" s="141"/>
    </row>
    <row r="4" spans="1:21">
      <c r="A4" s="141"/>
      <c r="B4" s="141"/>
      <c r="C4" s="141"/>
      <c r="D4" s="141"/>
      <c r="E4" s="141"/>
      <c r="F4" s="141"/>
      <c r="G4" s="141"/>
      <c r="H4" s="141"/>
      <c r="I4" s="141"/>
      <c r="J4" s="141"/>
      <c r="L4" s="141"/>
      <c r="M4" s="141"/>
      <c r="N4" s="141"/>
      <c r="O4" s="141"/>
      <c r="P4" s="141"/>
      <c r="Q4" s="141"/>
      <c r="R4" s="141"/>
      <c r="S4" s="141"/>
      <c r="T4" s="141"/>
      <c r="U4" s="141"/>
    </row>
    <row r="5" spans="1:21">
      <c r="A5" s="141"/>
      <c r="B5" s="141"/>
      <c r="C5" s="141"/>
      <c r="D5" s="141"/>
      <c r="E5" s="141"/>
      <c r="F5" s="141"/>
      <c r="G5" s="141"/>
      <c r="H5" s="141"/>
      <c r="I5" s="141"/>
      <c r="J5" s="141"/>
      <c r="L5" s="141"/>
      <c r="M5" s="141"/>
      <c r="N5" s="141"/>
      <c r="O5" s="141"/>
      <c r="P5" s="141"/>
      <c r="Q5" s="141"/>
      <c r="R5" s="141"/>
      <c r="S5" s="141"/>
      <c r="T5" s="141"/>
      <c r="U5" s="141"/>
    </row>
    <row r="6" spans="1:21">
      <c r="A6" s="141"/>
      <c r="B6" s="141"/>
      <c r="C6" s="141"/>
      <c r="D6" s="141"/>
      <c r="E6" s="141"/>
      <c r="F6" s="141"/>
      <c r="G6" s="141"/>
      <c r="H6" s="141"/>
      <c r="I6" s="141"/>
      <c r="J6" s="141"/>
      <c r="L6" s="141"/>
      <c r="M6" s="141"/>
      <c r="N6" s="141"/>
      <c r="O6" s="141"/>
      <c r="P6" s="141"/>
      <c r="Q6" s="141"/>
      <c r="R6" s="141"/>
      <c r="S6" s="141"/>
      <c r="T6" s="141"/>
      <c r="U6" s="141"/>
    </row>
    <row r="7" spans="1:21">
      <c r="A7" s="141"/>
      <c r="B7" s="141"/>
      <c r="C7" s="141"/>
      <c r="D7" s="141"/>
      <c r="E7" s="141"/>
      <c r="F7" s="141"/>
      <c r="G7" s="141"/>
      <c r="H7" s="141"/>
      <c r="I7" s="141"/>
      <c r="J7" s="141"/>
      <c r="L7" s="141"/>
      <c r="M7" s="141"/>
      <c r="N7" s="141"/>
      <c r="O7" s="141"/>
      <c r="P7" s="141"/>
      <c r="Q7" s="141"/>
      <c r="R7" s="141"/>
      <c r="S7" s="141"/>
      <c r="T7" s="141"/>
      <c r="U7" s="141"/>
    </row>
    <row r="8" spans="1:21">
      <c r="A8" s="141"/>
      <c r="B8" s="141"/>
      <c r="C8" s="141"/>
      <c r="D8" s="141"/>
      <c r="E8" s="141"/>
      <c r="F8" s="141"/>
      <c r="G8" s="141"/>
      <c r="H8" s="141"/>
      <c r="I8" s="141"/>
      <c r="J8" s="141"/>
      <c r="L8" s="141"/>
      <c r="M8" s="141"/>
      <c r="N8" s="141"/>
      <c r="O8" s="141"/>
      <c r="P8" s="141"/>
      <c r="Q8" s="141"/>
      <c r="R8" s="141"/>
      <c r="S8" s="141"/>
      <c r="T8" s="141"/>
      <c r="U8" s="141"/>
    </row>
    <row r="9" spans="1:21">
      <c r="A9" s="141"/>
      <c r="B9" s="141"/>
      <c r="C9" s="141"/>
      <c r="D9" s="141"/>
      <c r="E9" s="141"/>
      <c r="F9" s="141"/>
      <c r="G9" s="141"/>
      <c r="H9" s="141"/>
      <c r="I9" s="141"/>
      <c r="J9" s="141"/>
      <c r="L9" s="141"/>
      <c r="M9" s="141"/>
      <c r="N9" s="141"/>
      <c r="O9" s="141"/>
      <c r="P9" s="141"/>
      <c r="Q9" s="141"/>
      <c r="R9" s="141"/>
      <c r="S9" s="141"/>
      <c r="T9" s="141"/>
      <c r="U9" s="141"/>
    </row>
    <row r="10" spans="1:21">
      <c r="A10" s="141"/>
      <c r="B10" s="141"/>
      <c r="C10" s="141"/>
      <c r="D10" s="141"/>
      <c r="E10" s="141"/>
      <c r="F10" s="141"/>
      <c r="G10" s="141"/>
      <c r="H10" s="141"/>
      <c r="I10" s="141"/>
      <c r="J10" s="141"/>
      <c r="L10" s="141"/>
      <c r="M10" s="141"/>
      <c r="N10" s="141"/>
      <c r="O10" s="141"/>
      <c r="P10" s="141"/>
      <c r="Q10" s="141"/>
      <c r="R10" s="141"/>
      <c r="S10" s="141"/>
      <c r="T10" s="141"/>
      <c r="U10" s="141"/>
    </row>
    <row r="11" spans="1:21">
      <c r="A11" s="141"/>
      <c r="B11" s="141"/>
      <c r="C11" s="141"/>
      <c r="D11" s="141"/>
      <c r="E11" s="141"/>
      <c r="F11" s="141"/>
      <c r="G11" s="141"/>
      <c r="H11" s="141"/>
      <c r="I11" s="141"/>
      <c r="J11" s="141"/>
      <c r="L11" s="141"/>
      <c r="M11" s="141"/>
      <c r="N11" s="141"/>
      <c r="O11" s="141"/>
      <c r="P11" s="141"/>
      <c r="Q11" s="141"/>
      <c r="R11" s="141"/>
      <c r="S11" s="141"/>
      <c r="T11" s="141"/>
      <c r="U11" s="141"/>
    </row>
    <row r="12" spans="1:21">
      <c r="A12" s="141"/>
      <c r="B12" s="141"/>
      <c r="C12" s="141"/>
      <c r="D12" s="141"/>
      <c r="E12" s="141"/>
      <c r="F12" s="141"/>
      <c r="G12" s="141"/>
      <c r="H12" s="141"/>
      <c r="I12" s="141"/>
      <c r="J12" s="141"/>
      <c r="L12" s="141"/>
      <c r="M12" s="141"/>
      <c r="N12" s="141"/>
      <c r="O12" s="141"/>
      <c r="P12" s="141"/>
      <c r="Q12" s="141"/>
      <c r="R12" s="141"/>
      <c r="S12" s="141"/>
      <c r="T12" s="141"/>
      <c r="U12" s="141"/>
    </row>
    <row r="13" spans="1:21">
      <c r="A13" s="141"/>
      <c r="B13" s="141"/>
      <c r="C13" s="141"/>
      <c r="D13" s="141"/>
      <c r="E13" s="141"/>
      <c r="F13" s="141"/>
      <c r="G13" s="141"/>
      <c r="H13" s="141"/>
      <c r="I13" s="141"/>
      <c r="J13" s="141"/>
      <c r="L13" s="141"/>
      <c r="M13" s="141"/>
      <c r="N13" s="141"/>
      <c r="O13" s="141"/>
      <c r="P13" s="141"/>
      <c r="Q13" s="141"/>
      <c r="R13" s="141"/>
      <c r="S13" s="141"/>
      <c r="T13" s="141"/>
      <c r="U13" s="141"/>
    </row>
    <row r="14" spans="1:21" ht="18">
      <c r="A14" s="142" t="s">
        <v>2</v>
      </c>
      <c r="B14" s="141"/>
      <c r="C14" s="141"/>
      <c r="D14" s="141"/>
      <c r="E14" s="141"/>
      <c r="F14" s="141"/>
      <c r="G14" s="141"/>
      <c r="H14" s="141"/>
      <c r="I14" s="141"/>
      <c r="J14" s="141"/>
      <c r="L14" s="141"/>
      <c r="M14" s="141"/>
      <c r="N14" s="141"/>
      <c r="O14" s="141"/>
      <c r="P14" s="141"/>
      <c r="Q14" s="141"/>
      <c r="R14" s="141"/>
      <c r="S14" s="141"/>
      <c r="T14" s="141"/>
      <c r="U14" s="141"/>
    </row>
    <row r="15" spans="1:21">
      <c r="A15" s="141"/>
      <c r="B15" s="141"/>
      <c r="C15" s="141"/>
      <c r="D15" s="141"/>
      <c r="E15" s="141"/>
      <c r="F15" s="141"/>
      <c r="G15" s="141"/>
      <c r="H15" s="141"/>
      <c r="I15" s="141"/>
      <c r="J15" s="141"/>
      <c r="L15" s="141"/>
      <c r="M15" s="141"/>
      <c r="N15" s="141"/>
      <c r="O15" s="141"/>
      <c r="P15" s="141"/>
      <c r="Q15" s="141"/>
      <c r="R15" s="141"/>
      <c r="S15" s="141"/>
      <c r="T15" s="141"/>
      <c r="U15" s="141"/>
    </row>
    <row r="16" spans="1:21">
      <c r="A16" s="141"/>
      <c r="B16" s="141"/>
      <c r="C16" s="141"/>
      <c r="D16" s="141"/>
      <c r="E16" s="141"/>
      <c r="F16" s="141"/>
      <c r="G16" s="141"/>
      <c r="H16" s="141"/>
      <c r="I16" s="141"/>
      <c r="J16" s="141"/>
      <c r="L16" s="141"/>
      <c r="M16" s="141"/>
      <c r="N16" s="141"/>
      <c r="O16" s="141"/>
      <c r="P16" s="141"/>
      <c r="Q16" s="141"/>
      <c r="R16" s="141"/>
      <c r="S16" s="141"/>
      <c r="T16" s="141"/>
      <c r="U16" s="141"/>
    </row>
    <row r="17" spans="1:21">
      <c r="A17" s="141"/>
      <c r="B17" s="141"/>
      <c r="C17" s="141"/>
      <c r="D17" s="141"/>
      <c r="E17" s="141"/>
      <c r="F17" s="141"/>
      <c r="G17" s="141"/>
      <c r="H17" s="141"/>
      <c r="I17" s="141"/>
      <c r="J17" s="141"/>
      <c r="L17" s="141"/>
      <c r="M17" s="141"/>
      <c r="N17" s="141"/>
      <c r="O17" s="141"/>
      <c r="P17" s="141"/>
      <c r="Q17" s="141"/>
      <c r="R17" s="141"/>
      <c r="S17" s="141"/>
      <c r="T17" s="141"/>
      <c r="U17" s="141"/>
    </row>
    <row r="18" spans="1:21">
      <c r="A18" s="141"/>
      <c r="B18" s="141"/>
      <c r="C18" s="141"/>
      <c r="D18" s="141"/>
      <c r="E18" s="141"/>
      <c r="F18" s="141"/>
      <c r="G18" s="141"/>
      <c r="H18" s="141"/>
      <c r="I18" s="141"/>
      <c r="J18" s="141"/>
      <c r="L18" s="141"/>
      <c r="M18" s="141"/>
      <c r="N18" s="141"/>
      <c r="O18" s="141"/>
      <c r="P18" s="141"/>
      <c r="Q18" s="141"/>
      <c r="R18" s="141"/>
      <c r="S18" s="141"/>
      <c r="T18" s="141"/>
      <c r="U18" s="141"/>
    </row>
    <row r="19" spans="1:21">
      <c r="A19" s="141"/>
      <c r="B19" s="141"/>
      <c r="C19" s="141"/>
      <c r="D19" s="141"/>
      <c r="E19" s="141"/>
      <c r="F19" s="141"/>
      <c r="G19" s="141"/>
      <c r="H19" s="141"/>
      <c r="I19" s="141"/>
      <c r="J19" s="141"/>
      <c r="L19" s="141"/>
      <c r="M19" s="141"/>
      <c r="N19" s="141"/>
      <c r="O19" s="141"/>
      <c r="P19" s="141"/>
      <c r="Q19" s="141"/>
      <c r="R19" s="141"/>
      <c r="S19" s="141"/>
      <c r="T19" s="141"/>
      <c r="U19" s="141"/>
    </row>
    <row r="20" spans="1:21">
      <c r="A20" s="141"/>
      <c r="B20" s="141"/>
      <c r="C20" s="141"/>
      <c r="D20" s="141"/>
      <c r="E20" s="141"/>
      <c r="F20" s="141"/>
      <c r="G20" s="141"/>
      <c r="H20" s="141"/>
      <c r="I20" s="141"/>
      <c r="J20" s="141"/>
      <c r="L20" s="141"/>
      <c r="M20" s="141"/>
      <c r="N20" s="141"/>
      <c r="O20" s="141"/>
      <c r="P20" s="141"/>
      <c r="Q20" s="141"/>
      <c r="R20" s="141"/>
      <c r="S20" s="141"/>
      <c r="T20" s="141"/>
      <c r="U20" s="141"/>
    </row>
    <row r="21" spans="1:21">
      <c r="A21" s="141"/>
      <c r="B21" s="141"/>
      <c r="C21" s="141"/>
      <c r="D21" s="141"/>
      <c r="E21" s="141"/>
      <c r="F21" s="141"/>
      <c r="G21" s="141"/>
      <c r="H21" s="141"/>
      <c r="I21" s="141"/>
      <c r="J21" s="141"/>
      <c r="L21" s="141"/>
      <c r="M21" s="141"/>
      <c r="N21" s="141"/>
      <c r="O21" s="141"/>
      <c r="P21" s="141"/>
      <c r="Q21" s="141"/>
      <c r="R21" s="141"/>
      <c r="S21" s="141"/>
      <c r="T21" s="141"/>
      <c r="U21" s="141"/>
    </row>
    <row r="22" spans="1:21" ht="22.5" customHeight="1">
      <c r="A22" s="141"/>
      <c r="B22" s="283" t="s">
        <v>113</v>
      </c>
      <c r="C22" s="283"/>
      <c r="D22" s="195" t="s">
        <v>114</v>
      </c>
      <c r="E22" s="141"/>
      <c r="F22" s="141"/>
      <c r="G22" s="141"/>
      <c r="H22" s="141"/>
      <c r="I22" s="141"/>
      <c r="J22" s="141"/>
      <c r="L22" s="141"/>
      <c r="M22" s="141"/>
      <c r="N22" s="141"/>
      <c r="O22" s="141"/>
      <c r="P22" s="141"/>
      <c r="Q22" s="141"/>
      <c r="R22" s="141"/>
      <c r="S22" s="141"/>
      <c r="T22" s="141"/>
      <c r="U22" s="141"/>
    </row>
    <row r="23" spans="1:21" ht="8.25" customHeight="1">
      <c r="A23" s="141"/>
      <c r="B23" s="141"/>
      <c r="C23" s="141"/>
      <c r="D23" s="141"/>
      <c r="E23" s="141"/>
      <c r="F23" s="141"/>
      <c r="G23" s="141"/>
      <c r="H23" s="141"/>
      <c r="I23" s="141"/>
      <c r="J23" s="141"/>
      <c r="L23" s="141"/>
      <c r="M23" s="141"/>
      <c r="N23" s="141"/>
      <c r="O23" s="141"/>
      <c r="P23" s="141"/>
      <c r="Q23" s="141"/>
      <c r="R23" s="141"/>
      <c r="S23" s="141"/>
      <c r="T23" s="141"/>
      <c r="U23" s="141"/>
    </row>
    <row r="24" spans="1:21" ht="21.75" customHeight="1">
      <c r="A24" s="141"/>
      <c r="B24" s="284" t="s">
        <v>115</v>
      </c>
      <c r="C24" s="284"/>
      <c r="D24" s="195" t="s">
        <v>116</v>
      </c>
      <c r="E24" s="141"/>
      <c r="F24" s="141"/>
      <c r="G24" s="141"/>
      <c r="H24" s="141"/>
      <c r="I24" s="141"/>
      <c r="J24" s="141"/>
      <c r="L24" s="141"/>
      <c r="M24" s="141"/>
      <c r="N24" s="141"/>
      <c r="O24" s="141"/>
      <c r="P24" s="141"/>
      <c r="Q24" s="141"/>
      <c r="R24" s="141"/>
      <c r="S24" s="141"/>
      <c r="T24" s="141"/>
      <c r="U24" s="141"/>
    </row>
    <row r="25" spans="1:21" ht="10.5" customHeight="1">
      <c r="A25" s="141"/>
      <c r="B25" s="141"/>
      <c r="C25" s="141"/>
      <c r="D25" s="141"/>
      <c r="E25" s="141"/>
      <c r="F25" s="141"/>
      <c r="G25" s="141"/>
      <c r="H25" s="141"/>
      <c r="I25" s="141"/>
      <c r="J25" s="141"/>
      <c r="L25" s="141"/>
      <c r="M25" s="141"/>
      <c r="N25" s="141"/>
      <c r="O25" s="141"/>
      <c r="P25" s="141"/>
      <c r="Q25" s="141"/>
      <c r="R25" s="141"/>
      <c r="S25" s="141"/>
      <c r="T25" s="141"/>
      <c r="U25" s="141"/>
    </row>
    <row r="26" spans="1:21" ht="21.75" customHeight="1">
      <c r="A26" s="141"/>
      <c r="B26" s="287" t="s">
        <v>117</v>
      </c>
      <c r="C26" s="287"/>
      <c r="D26" s="282" t="s">
        <v>118</v>
      </c>
      <c r="E26" s="282"/>
      <c r="F26" s="282"/>
      <c r="G26" s="282"/>
      <c r="H26" s="282"/>
      <c r="I26" s="282"/>
      <c r="J26" s="282"/>
      <c r="L26" s="141"/>
      <c r="M26" s="141"/>
      <c r="N26" s="141"/>
      <c r="O26" s="141"/>
      <c r="P26" s="141"/>
      <c r="Q26" s="141"/>
      <c r="R26" s="141"/>
      <c r="S26" s="141"/>
      <c r="T26" s="141"/>
      <c r="U26" s="141"/>
    </row>
    <row r="27" spans="1:21" ht="12" customHeight="1">
      <c r="A27" s="141"/>
      <c r="B27" s="287"/>
      <c r="C27" s="287"/>
      <c r="D27" s="282"/>
      <c r="E27" s="282"/>
      <c r="F27" s="282"/>
      <c r="G27" s="282"/>
      <c r="H27" s="282"/>
      <c r="I27" s="282"/>
      <c r="J27" s="282"/>
      <c r="L27" s="141"/>
      <c r="M27" s="141"/>
      <c r="N27" s="141"/>
      <c r="O27" s="141"/>
      <c r="P27" s="141"/>
      <c r="Q27" s="141"/>
      <c r="R27" s="141"/>
      <c r="S27" s="141"/>
      <c r="T27" s="141"/>
      <c r="U27" s="141"/>
    </row>
    <row r="28" spans="1:21" ht="18.75" customHeight="1">
      <c r="A28" s="141"/>
      <c r="B28" s="141"/>
      <c r="C28" s="141"/>
      <c r="D28" s="141"/>
      <c r="E28" s="141"/>
      <c r="F28" s="141"/>
      <c r="G28" s="141"/>
      <c r="H28" s="141"/>
      <c r="I28" s="141"/>
      <c r="J28" s="141"/>
      <c r="L28" s="141"/>
      <c r="M28" s="141"/>
      <c r="N28" s="141"/>
      <c r="O28" s="141"/>
      <c r="P28" s="141"/>
      <c r="Q28" s="141"/>
      <c r="R28" s="141"/>
      <c r="S28" s="141"/>
      <c r="T28" s="141"/>
      <c r="U28" s="141"/>
    </row>
    <row r="29" spans="1:21">
      <c r="A29" s="141"/>
      <c r="B29" s="286" t="s">
        <v>119</v>
      </c>
      <c r="C29" s="286"/>
      <c r="D29" s="282" t="s">
        <v>120</v>
      </c>
      <c r="E29" s="282"/>
      <c r="F29" s="282"/>
      <c r="G29" s="282"/>
      <c r="H29" s="282"/>
      <c r="I29" s="282"/>
      <c r="J29" s="282"/>
      <c r="L29" s="141"/>
      <c r="M29" s="141"/>
      <c r="N29" s="141"/>
      <c r="O29" s="141"/>
      <c r="P29" s="141"/>
      <c r="Q29" s="141"/>
      <c r="R29" s="141"/>
      <c r="S29" s="141"/>
      <c r="T29" s="141"/>
      <c r="U29" s="141"/>
    </row>
    <row r="30" spans="1:21">
      <c r="A30" s="141"/>
      <c r="B30" s="286"/>
      <c r="C30" s="286"/>
      <c r="D30" s="282"/>
      <c r="E30" s="282"/>
      <c r="F30" s="282"/>
      <c r="G30" s="282"/>
      <c r="H30" s="282"/>
      <c r="I30" s="282"/>
      <c r="J30" s="282"/>
      <c r="L30" s="141"/>
      <c r="M30" s="141"/>
      <c r="N30" s="141"/>
      <c r="O30" s="141"/>
      <c r="P30" s="141"/>
      <c r="Q30" s="141"/>
      <c r="R30" s="141"/>
      <c r="S30" s="141"/>
      <c r="T30" s="141"/>
      <c r="U30" s="141"/>
    </row>
    <row r="31" spans="1:21" ht="14.25" customHeight="1">
      <c r="A31" s="141"/>
      <c r="B31" s="141"/>
      <c r="C31" s="141"/>
      <c r="D31" s="141"/>
      <c r="E31" s="141"/>
      <c r="F31" s="141"/>
      <c r="G31" s="141"/>
      <c r="H31" s="141"/>
      <c r="I31" s="141"/>
      <c r="J31" s="141"/>
      <c r="L31" s="141"/>
      <c r="M31" s="141"/>
      <c r="N31" s="141"/>
      <c r="O31" s="141"/>
      <c r="P31" s="141"/>
      <c r="Q31" s="141"/>
      <c r="R31" s="141"/>
      <c r="S31" s="141"/>
      <c r="T31" s="141"/>
      <c r="U31" s="141"/>
    </row>
    <row r="32" spans="1:21">
      <c r="A32" s="141"/>
      <c r="B32" s="285" t="s">
        <v>121</v>
      </c>
      <c r="C32" s="285"/>
      <c r="D32" s="282" t="s">
        <v>122</v>
      </c>
      <c r="E32" s="282"/>
      <c r="F32" s="282"/>
      <c r="G32" s="282"/>
      <c r="H32" s="282"/>
      <c r="I32" s="282"/>
      <c r="J32" s="282"/>
      <c r="L32" s="141"/>
      <c r="M32" s="141"/>
      <c r="N32" s="141"/>
      <c r="O32" s="141"/>
      <c r="P32" s="141"/>
      <c r="Q32" s="141"/>
      <c r="R32" s="141"/>
      <c r="S32" s="141"/>
      <c r="T32" s="141"/>
      <c r="U32" s="141"/>
    </row>
    <row r="33" spans="1:23">
      <c r="A33" s="141"/>
      <c r="B33" s="285"/>
      <c r="C33" s="285"/>
      <c r="D33" s="282"/>
      <c r="E33" s="282"/>
      <c r="F33" s="282"/>
      <c r="G33" s="282"/>
      <c r="H33" s="282"/>
      <c r="I33" s="282"/>
      <c r="J33" s="282"/>
      <c r="L33" s="141"/>
      <c r="M33" s="141"/>
      <c r="N33" s="141"/>
      <c r="O33" s="141"/>
      <c r="P33" s="141"/>
      <c r="Q33" s="141"/>
      <c r="R33" s="141"/>
      <c r="S33" s="141"/>
      <c r="T33" s="141"/>
      <c r="U33" s="141"/>
    </row>
    <row r="34" spans="1:23">
      <c r="A34" s="141"/>
      <c r="B34" s="285"/>
      <c r="C34" s="285"/>
      <c r="D34" s="282"/>
      <c r="E34" s="282"/>
      <c r="F34" s="282"/>
      <c r="G34" s="282"/>
      <c r="H34" s="282"/>
      <c r="I34" s="282"/>
      <c r="J34" s="282"/>
      <c r="L34" s="141"/>
      <c r="M34" s="141"/>
      <c r="N34" s="141"/>
      <c r="O34" s="141"/>
      <c r="P34" s="141"/>
      <c r="Q34" s="141"/>
      <c r="R34" s="141"/>
      <c r="S34" s="141"/>
      <c r="T34" s="141"/>
      <c r="U34" s="141"/>
    </row>
    <row r="35" spans="1:23">
      <c r="A35" s="141"/>
      <c r="B35" s="285"/>
      <c r="C35" s="285"/>
      <c r="D35" s="282"/>
      <c r="E35" s="282"/>
      <c r="F35" s="282"/>
      <c r="G35" s="282"/>
      <c r="H35" s="282"/>
      <c r="I35" s="282"/>
      <c r="J35" s="282"/>
      <c r="L35" s="141"/>
      <c r="M35" s="141"/>
      <c r="N35" s="141"/>
      <c r="O35" s="141"/>
      <c r="P35" s="141"/>
      <c r="Q35" s="141"/>
      <c r="R35" s="141"/>
      <c r="S35" s="141"/>
      <c r="T35" s="141"/>
      <c r="U35" s="141"/>
    </row>
    <row r="36" spans="1:23">
      <c r="A36" s="141"/>
      <c r="B36" s="141"/>
      <c r="C36" s="141"/>
      <c r="D36" s="141"/>
      <c r="E36" s="141"/>
      <c r="F36" s="141"/>
      <c r="G36" s="141"/>
      <c r="H36" s="141"/>
      <c r="I36" s="141"/>
      <c r="J36" s="141"/>
      <c r="L36" s="141"/>
      <c r="M36" s="141"/>
      <c r="N36" s="141"/>
      <c r="O36" s="141"/>
      <c r="P36" s="141"/>
      <c r="Q36" s="141"/>
      <c r="R36" s="141"/>
      <c r="S36" s="141"/>
      <c r="T36" s="141"/>
      <c r="U36" s="141"/>
    </row>
    <row r="37" spans="1:23" ht="18">
      <c r="A37" s="142" t="s">
        <v>123</v>
      </c>
      <c r="B37" s="141"/>
      <c r="C37" s="141"/>
      <c r="D37" s="141"/>
      <c r="E37" s="141"/>
      <c r="F37" s="141"/>
      <c r="G37" s="141"/>
      <c r="H37" s="141"/>
      <c r="I37" s="141"/>
      <c r="J37" s="141"/>
      <c r="L37" s="142" t="s">
        <v>124</v>
      </c>
      <c r="M37" s="141"/>
      <c r="N37" s="141"/>
      <c r="O37" s="141"/>
      <c r="P37" s="141"/>
      <c r="Q37" s="141"/>
      <c r="R37" s="141"/>
      <c r="S37" s="141"/>
      <c r="T37" s="141"/>
      <c r="U37" s="141"/>
    </row>
    <row r="38" spans="1:23">
      <c r="A38" s="141"/>
      <c r="B38" s="141"/>
      <c r="C38" s="141"/>
      <c r="D38" s="141"/>
      <c r="E38" s="141"/>
      <c r="F38" s="141"/>
      <c r="G38" s="141"/>
      <c r="H38" s="141"/>
      <c r="I38" s="141"/>
      <c r="J38" s="141"/>
      <c r="L38" s="141"/>
      <c r="M38" s="141"/>
      <c r="N38" s="141"/>
      <c r="O38" s="141"/>
      <c r="P38" s="141"/>
      <c r="Q38" s="141"/>
      <c r="R38" s="141"/>
      <c r="S38" s="141"/>
      <c r="T38" s="141"/>
      <c r="U38" s="141"/>
      <c r="W38" s="7"/>
    </row>
    <row r="39" spans="1:23">
      <c r="A39" s="141"/>
      <c r="B39" s="141"/>
      <c r="C39" s="141"/>
      <c r="D39" s="141"/>
      <c r="E39" s="141"/>
      <c r="F39" s="141"/>
      <c r="G39" s="141"/>
      <c r="H39" s="141"/>
      <c r="I39" s="141"/>
      <c r="J39" s="141"/>
      <c r="L39" s="141"/>
      <c r="M39" s="141"/>
      <c r="N39" s="141"/>
      <c r="O39" s="141"/>
      <c r="P39" s="141"/>
      <c r="Q39" s="141"/>
      <c r="R39" s="141"/>
      <c r="S39" s="141"/>
      <c r="T39" s="141"/>
      <c r="U39" s="141"/>
      <c r="W39" s="7"/>
    </row>
    <row r="40" spans="1:23">
      <c r="A40" s="141"/>
      <c r="B40" s="141"/>
      <c r="C40" s="141"/>
      <c r="D40" s="141"/>
      <c r="E40" s="141"/>
      <c r="F40" s="141"/>
      <c r="G40" s="141"/>
      <c r="H40" s="141"/>
      <c r="I40" s="141"/>
      <c r="J40" s="141"/>
      <c r="L40" s="141"/>
      <c r="M40" s="141"/>
      <c r="N40" s="141"/>
      <c r="O40" s="141"/>
      <c r="P40" s="141"/>
      <c r="Q40" s="141"/>
      <c r="R40" s="141"/>
      <c r="S40" s="141"/>
      <c r="T40" s="141"/>
      <c r="U40" s="141"/>
      <c r="W40" s="7"/>
    </row>
    <row r="41" spans="1:23">
      <c r="A41" s="141"/>
      <c r="B41" s="141"/>
      <c r="C41" s="141"/>
      <c r="D41" s="141"/>
      <c r="E41" s="141"/>
      <c r="F41" s="141"/>
      <c r="G41" s="141"/>
      <c r="H41" s="141"/>
      <c r="I41" s="141"/>
      <c r="J41" s="141"/>
      <c r="L41" s="141"/>
      <c r="M41" s="141"/>
      <c r="N41" s="141"/>
      <c r="O41" s="141"/>
      <c r="P41" s="141"/>
      <c r="Q41" s="141"/>
      <c r="R41" s="141"/>
      <c r="S41" s="141"/>
      <c r="T41" s="141"/>
      <c r="U41" s="141"/>
      <c r="W41" s="7"/>
    </row>
    <row r="42" spans="1:23">
      <c r="A42" s="141"/>
      <c r="B42" s="141"/>
      <c r="C42" s="141"/>
      <c r="D42" s="141"/>
      <c r="E42" s="141"/>
      <c r="F42" s="141"/>
      <c r="G42" s="141"/>
      <c r="H42" s="141"/>
      <c r="I42" s="141"/>
      <c r="J42" s="141"/>
      <c r="L42" s="141"/>
      <c r="M42" s="141"/>
      <c r="N42" s="141"/>
      <c r="O42" s="141"/>
      <c r="P42" s="141"/>
      <c r="Q42" s="141"/>
      <c r="R42" s="141"/>
      <c r="S42" s="141"/>
      <c r="T42" s="141"/>
      <c r="U42" s="141"/>
      <c r="W42" s="20"/>
    </row>
    <row r="43" spans="1:23">
      <c r="A43" s="141"/>
      <c r="B43" s="141"/>
      <c r="C43" s="141"/>
      <c r="D43" s="141"/>
      <c r="E43" s="141"/>
      <c r="F43" s="141"/>
      <c r="G43" s="141"/>
      <c r="H43" s="141"/>
      <c r="I43" s="141"/>
      <c r="J43" s="141"/>
      <c r="L43" s="141"/>
      <c r="M43" s="141"/>
      <c r="N43" s="141"/>
      <c r="O43" s="141"/>
      <c r="P43" s="141"/>
      <c r="Q43" s="141"/>
      <c r="R43" s="141"/>
      <c r="S43" s="141"/>
      <c r="T43" s="141"/>
      <c r="U43" s="141"/>
    </row>
    <row r="44" spans="1:23">
      <c r="A44" s="141"/>
      <c r="B44" s="141"/>
      <c r="C44" s="141"/>
      <c r="D44" s="141"/>
      <c r="E44" s="141"/>
      <c r="F44" s="141"/>
      <c r="G44" s="141"/>
      <c r="H44" s="141"/>
      <c r="I44" s="141"/>
      <c r="J44" s="141"/>
      <c r="L44" s="141"/>
      <c r="M44" s="141"/>
      <c r="N44" s="141"/>
      <c r="O44" s="141"/>
      <c r="P44" s="141"/>
      <c r="Q44" s="141"/>
      <c r="R44" s="141"/>
      <c r="S44" s="141"/>
      <c r="T44" s="141"/>
      <c r="U44" s="141"/>
    </row>
    <row r="45" spans="1:23">
      <c r="A45" s="141"/>
      <c r="B45" s="141"/>
      <c r="C45" s="141"/>
      <c r="D45" s="141"/>
      <c r="E45" s="141"/>
      <c r="F45" s="141"/>
      <c r="G45" s="141"/>
      <c r="H45" s="141"/>
      <c r="I45" s="141"/>
      <c r="J45" s="141"/>
      <c r="L45" s="141"/>
      <c r="M45" s="141"/>
      <c r="N45" s="141"/>
      <c r="O45" s="141"/>
      <c r="P45" s="141"/>
      <c r="Q45" s="141"/>
      <c r="R45" s="141"/>
      <c r="S45" s="141"/>
      <c r="T45" s="141"/>
      <c r="U45" s="141"/>
    </row>
    <row r="46" spans="1:23">
      <c r="A46" s="141"/>
      <c r="B46" s="141"/>
      <c r="C46" s="141"/>
      <c r="D46" s="141"/>
      <c r="E46" s="141"/>
      <c r="F46" s="141"/>
      <c r="G46" s="141"/>
      <c r="H46" s="141"/>
      <c r="I46" s="141"/>
      <c r="J46" s="141"/>
      <c r="L46" s="141"/>
      <c r="M46" s="141"/>
      <c r="N46" s="141"/>
      <c r="O46" s="141"/>
      <c r="P46" s="141"/>
      <c r="Q46" s="141"/>
      <c r="R46" s="141"/>
      <c r="S46" s="141"/>
      <c r="T46" s="141"/>
      <c r="U46" s="141"/>
      <c r="W46" s="23"/>
    </row>
    <row r="47" spans="1:23" ht="15" customHeight="1">
      <c r="A47" s="141"/>
      <c r="B47" s="141"/>
      <c r="C47" s="141"/>
      <c r="D47" s="141"/>
      <c r="E47" s="141"/>
      <c r="F47" s="141"/>
      <c r="G47" s="141"/>
      <c r="H47" s="141"/>
      <c r="I47" s="141"/>
      <c r="J47" s="141"/>
      <c r="L47" s="141"/>
      <c r="M47" s="141"/>
      <c r="N47" s="141"/>
      <c r="O47" s="141"/>
      <c r="P47" s="141"/>
      <c r="Q47" s="141"/>
      <c r="R47" s="141"/>
      <c r="S47" s="141"/>
      <c r="T47" s="141"/>
      <c r="U47" s="141"/>
      <c r="W47" s="23"/>
    </row>
    <row r="48" spans="1:23" ht="13.9" customHeight="1">
      <c r="A48" s="141"/>
      <c r="B48" s="141"/>
      <c r="C48" s="141"/>
      <c r="D48" s="141"/>
      <c r="E48" s="141"/>
      <c r="F48" s="141"/>
      <c r="G48" s="141"/>
      <c r="H48" s="141"/>
      <c r="I48" s="141"/>
      <c r="J48" s="141"/>
      <c r="L48" s="141"/>
      <c r="M48" s="141"/>
      <c r="N48" s="141"/>
      <c r="O48" s="141"/>
      <c r="P48" s="141"/>
      <c r="Q48" s="141"/>
      <c r="R48" s="141"/>
      <c r="S48" s="141"/>
      <c r="T48" s="141"/>
      <c r="U48" s="141"/>
      <c r="W48" s="23"/>
    </row>
    <row r="49" spans="1:23" ht="13.9" customHeight="1">
      <c r="A49" s="141"/>
      <c r="B49" s="141"/>
      <c r="C49" s="141"/>
      <c r="D49" s="141"/>
      <c r="E49" s="141"/>
      <c r="F49" s="141"/>
      <c r="G49" s="141"/>
      <c r="H49" s="141"/>
      <c r="I49" s="141"/>
      <c r="J49" s="141"/>
      <c r="L49" s="141"/>
      <c r="M49" s="141"/>
      <c r="N49" s="141"/>
      <c r="O49" s="141"/>
      <c r="P49" s="141"/>
      <c r="Q49" s="141"/>
      <c r="R49" s="141"/>
      <c r="S49" s="141"/>
      <c r="T49" s="141"/>
      <c r="U49" s="141"/>
      <c r="W49" s="23"/>
    </row>
    <row r="50" spans="1:23">
      <c r="A50" s="141"/>
      <c r="B50" s="141"/>
      <c r="C50" s="141"/>
      <c r="D50" s="141"/>
      <c r="E50" s="141"/>
      <c r="F50" s="141"/>
      <c r="G50" s="141"/>
      <c r="H50" s="141"/>
      <c r="I50" s="141"/>
      <c r="J50" s="141"/>
      <c r="L50" s="141"/>
      <c r="M50" s="141"/>
      <c r="N50" s="141"/>
      <c r="O50" s="141"/>
      <c r="P50" s="141"/>
      <c r="Q50" s="141"/>
      <c r="R50" s="141"/>
      <c r="S50" s="141"/>
      <c r="T50" s="141"/>
      <c r="U50" s="141"/>
    </row>
    <row r="51" spans="1:23">
      <c r="A51" s="141"/>
      <c r="B51" s="141"/>
      <c r="C51" s="141"/>
      <c r="D51" s="141"/>
      <c r="E51" s="141"/>
      <c r="F51" s="141"/>
      <c r="G51" s="141"/>
      <c r="H51" s="141"/>
      <c r="I51" s="141"/>
      <c r="J51" s="141"/>
      <c r="L51" s="141"/>
      <c r="M51" s="141"/>
      <c r="N51" s="141"/>
      <c r="O51" s="141"/>
      <c r="P51" s="141"/>
      <c r="Q51" s="141"/>
      <c r="R51" s="141"/>
      <c r="S51" s="141"/>
      <c r="T51" s="141"/>
      <c r="U51" s="141"/>
    </row>
    <row r="52" spans="1:23">
      <c r="A52" s="141"/>
      <c r="B52" s="141"/>
      <c r="C52" s="141"/>
      <c r="D52" s="141"/>
      <c r="E52" s="141"/>
      <c r="F52" s="141"/>
      <c r="G52" s="141"/>
      <c r="H52" s="141"/>
      <c r="I52" s="141"/>
      <c r="J52" s="141"/>
      <c r="L52" s="141"/>
      <c r="M52" s="141"/>
      <c r="N52" s="141"/>
      <c r="O52" s="141"/>
      <c r="P52" s="141"/>
      <c r="Q52" s="141"/>
      <c r="R52" s="141"/>
      <c r="S52" s="141"/>
      <c r="T52" s="141"/>
      <c r="U52" s="141"/>
    </row>
    <row r="53" spans="1:23" ht="14.45" customHeight="1">
      <c r="A53" s="141"/>
      <c r="B53" s="141"/>
      <c r="C53" s="141"/>
      <c r="D53" s="141"/>
      <c r="E53" s="141"/>
      <c r="F53" s="141"/>
      <c r="G53" s="141"/>
      <c r="H53" s="141"/>
      <c r="I53" s="141"/>
      <c r="J53" s="141"/>
      <c r="L53" s="141"/>
      <c r="M53" s="141"/>
      <c r="N53" s="141"/>
      <c r="O53" s="141"/>
      <c r="P53" s="141"/>
      <c r="Q53" s="141"/>
      <c r="R53" s="141"/>
      <c r="S53" s="141"/>
      <c r="T53" s="141"/>
      <c r="U53" s="141"/>
      <c r="W53" s="25"/>
    </row>
    <row r="54" spans="1:23" ht="13.9" customHeight="1">
      <c r="A54" s="141"/>
      <c r="B54" s="141"/>
      <c r="C54" s="141"/>
      <c r="D54" s="141"/>
      <c r="E54" s="141"/>
      <c r="F54" s="141"/>
      <c r="G54" s="141"/>
      <c r="H54" s="141"/>
      <c r="I54" s="141"/>
      <c r="J54" s="141"/>
      <c r="L54" s="141"/>
      <c r="M54" s="141"/>
      <c r="N54" s="141"/>
      <c r="O54" s="141"/>
      <c r="P54" s="141"/>
      <c r="Q54" s="141"/>
      <c r="R54" s="141"/>
      <c r="S54" s="141"/>
      <c r="T54" s="141"/>
      <c r="U54" s="141"/>
      <c r="W54" s="25"/>
    </row>
    <row r="55" spans="1:23" ht="13.9" customHeight="1">
      <c r="A55" s="141"/>
      <c r="B55" s="141"/>
      <c r="C55" s="141"/>
      <c r="D55" s="141"/>
      <c r="E55" s="141"/>
      <c r="F55" s="141"/>
      <c r="G55" s="141"/>
      <c r="H55" s="141"/>
      <c r="I55" s="141"/>
      <c r="J55" s="141"/>
      <c r="L55" s="141"/>
      <c r="M55" s="141"/>
      <c r="N55" s="141"/>
      <c r="O55" s="141"/>
      <c r="P55" s="141"/>
      <c r="Q55" s="141"/>
      <c r="R55" s="141"/>
      <c r="S55" s="141"/>
      <c r="T55" s="141"/>
      <c r="U55" s="141"/>
      <c r="W55" s="25"/>
    </row>
    <row r="56" spans="1:23" ht="13.9" customHeight="1">
      <c r="A56" s="141"/>
      <c r="B56" s="141"/>
      <c r="C56" s="141"/>
      <c r="D56" s="141"/>
      <c r="E56" s="141"/>
      <c r="F56" s="141"/>
      <c r="G56" s="141"/>
      <c r="H56" s="141"/>
      <c r="I56" s="141"/>
      <c r="J56" s="141"/>
      <c r="L56" s="141"/>
      <c r="M56" s="141"/>
      <c r="N56" s="141"/>
      <c r="O56" s="141"/>
      <c r="P56" s="141"/>
      <c r="Q56" s="141"/>
      <c r="R56" s="141"/>
      <c r="S56" s="141"/>
      <c r="T56" s="141"/>
      <c r="U56" s="141"/>
      <c r="W56" s="25"/>
    </row>
    <row r="57" spans="1:23">
      <c r="A57" s="141"/>
      <c r="B57" s="141"/>
      <c r="C57" s="141"/>
      <c r="D57" s="141"/>
      <c r="E57" s="141"/>
      <c r="F57" s="141"/>
      <c r="G57" s="141"/>
      <c r="H57" s="141"/>
      <c r="I57" s="141"/>
      <c r="J57" s="141"/>
      <c r="L57" s="141"/>
      <c r="M57" s="141"/>
      <c r="N57" s="141"/>
      <c r="O57" s="141"/>
      <c r="P57" s="141"/>
      <c r="Q57" s="141"/>
      <c r="R57" s="141"/>
      <c r="S57" s="141"/>
      <c r="T57" s="141"/>
      <c r="U57" s="141"/>
      <c r="W57" s="25"/>
    </row>
    <row r="58" spans="1:23">
      <c r="A58" s="141"/>
      <c r="B58" s="141"/>
      <c r="C58" s="141"/>
      <c r="D58" s="141"/>
      <c r="E58" s="141"/>
      <c r="F58" s="141"/>
      <c r="G58" s="141"/>
      <c r="H58" s="141"/>
      <c r="I58" s="141"/>
      <c r="J58" s="141"/>
      <c r="L58" s="141"/>
      <c r="M58" s="141"/>
      <c r="N58" s="141"/>
      <c r="O58" s="141"/>
      <c r="P58" s="141"/>
      <c r="Q58" s="141"/>
      <c r="R58" s="141"/>
      <c r="S58" s="141"/>
      <c r="T58" s="141"/>
      <c r="U58" s="141"/>
    </row>
    <row r="59" spans="1:23">
      <c r="A59" s="141"/>
      <c r="B59" s="141"/>
      <c r="C59" s="141"/>
      <c r="D59" s="141"/>
      <c r="E59" s="141"/>
      <c r="F59" s="141"/>
      <c r="G59" s="141"/>
      <c r="H59" s="141"/>
      <c r="I59" s="141"/>
      <c r="J59" s="141"/>
      <c r="L59" s="141"/>
      <c r="M59" s="141"/>
      <c r="N59" s="141"/>
      <c r="O59" s="141"/>
      <c r="P59" s="141"/>
      <c r="Q59" s="141"/>
      <c r="R59" s="141"/>
      <c r="S59" s="141"/>
      <c r="T59" s="141"/>
      <c r="U59" s="141"/>
    </row>
    <row r="60" spans="1:23">
      <c r="A60" s="141"/>
      <c r="B60" s="141"/>
      <c r="C60" s="141"/>
      <c r="D60" s="141"/>
      <c r="E60" s="141"/>
      <c r="F60" s="141"/>
      <c r="G60" s="141"/>
      <c r="H60" s="141"/>
      <c r="I60" s="141"/>
      <c r="J60" s="141"/>
      <c r="L60" s="141"/>
      <c r="M60" s="141"/>
      <c r="N60" s="141"/>
      <c r="O60" s="141"/>
      <c r="P60" s="141"/>
      <c r="Q60" s="141"/>
      <c r="R60" s="141"/>
      <c r="S60" s="141"/>
      <c r="T60" s="141"/>
      <c r="U60" s="141"/>
      <c r="W60" s="25"/>
    </row>
    <row r="61" spans="1:23">
      <c r="A61" s="141"/>
      <c r="B61" s="141"/>
      <c r="C61" s="141"/>
      <c r="D61" s="141"/>
      <c r="E61" s="141"/>
      <c r="F61" s="141"/>
      <c r="G61" s="141"/>
      <c r="H61" s="141"/>
      <c r="I61" s="141"/>
      <c r="J61" s="141"/>
      <c r="L61" s="141"/>
      <c r="M61" s="141"/>
      <c r="N61" s="141"/>
      <c r="O61" s="141"/>
      <c r="P61" s="141"/>
      <c r="Q61" s="141"/>
      <c r="R61" s="141"/>
      <c r="S61" s="141"/>
      <c r="T61" s="141"/>
      <c r="U61" s="141"/>
    </row>
    <row r="62" spans="1:23">
      <c r="A62" s="141"/>
      <c r="B62" s="141"/>
      <c r="C62" s="141"/>
      <c r="D62" s="141"/>
      <c r="E62" s="141"/>
      <c r="F62" s="141"/>
      <c r="G62" s="141"/>
      <c r="H62" s="141"/>
      <c r="I62" s="141"/>
      <c r="J62" s="141"/>
      <c r="L62" s="141"/>
      <c r="M62" s="141"/>
      <c r="N62" s="141"/>
      <c r="O62" s="141"/>
      <c r="P62" s="141"/>
      <c r="Q62" s="141"/>
      <c r="R62" s="141"/>
      <c r="S62" s="141"/>
      <c r="T62" s="141"/>
      <c r="U62" s="141"/>
    </row>
    <row r="63" spans="1:23">
      <c r="A63" s="141"/>
      <c r="B63" s="141"/>
      <c r="C63" s="141"/>
      <c r="D63" s="141"/>
      <c r="E63" s="141"/>
      <c r="F63" s="141"/>
      <c r="G63" s="141"/>
      <c r="H63" s="141"/>
      <c r="I63" s="141"/>
      <c r="J63" s="141"/>
      <c r="L63" s="141"/>
      <c r="M63" s="141"/>
      <c r="N63" s="141"/>
      <c r="O63" s="141"/>
      <c r="P63" s="141"/>
      <c r="Q63" s="141"/>
      <c r="R63" s="141"/>
      <c r="S63" s="141"/>
      <c r="T63" s="141"/>
      <c r="U63" s="141"/>
    </row>
    <row r="64" spans="1:23">
      <c r="A64" s="141"/>
      <c r="B64" s="141"/>
      <c r="C64" s="141"/>
      <c r="D64" s="141"/>
      <c r="E64" s="141"/>
      <c r="F64" s="141"/>
      <c r="G64" s="141"/>
      <c r="H64" s="141"/>
      <c r="I64" s="141"/>
      <c r="J64" s="141"/>
      <c r="L64" s="141"/>
      <c r="M64" s="141"/>
      <c r="N64" s="141"/>
      <c r="O64" s="141"/>
      <c r="P64" s="141"/>
      <c r="Q64" s="141"/>
      <c r="R64" s="141"/>
      <c r="S64" s="141"/>
      <c r="T64" s="141"/>
      <c r="U64" s="141"/>
    </row>
    <row r="65" spans="1:21">
      <c r="A65" s="141"/>
      <c r="B65" s="141"/>
      <c r="C65" s="141"/>
      <c r="D65" s="141"/>
      <c r="E65" s="141"/>
      <c r="F65" s="141"/>
      <c r="G65" s="141"/>
      <c r="H65" s="141"/>
      <c r="I65" s="141"/>
      <c r="J65" s="141"/>
      <c r="L65" s="141"/>
      <c r="M65" s="141"/>
      <c r="N65" s="141"/>
      <c r="O65" s="141"/>
      <c r="P65" s="141"/>
      <c r="Q65" s="141"/>
      <c r="R65" s="141"/>
      <c r="S65" s="141"/>
      <c r="T65" s="141"/>
      <c r="U65" s="141"/>
    </row>
    <row r="66" spans="1:21">
      <c r="A66" s="141"/>
      <c r="B66" s="141"/>
      <c r="C66" s="141"/>
      <c r="D66" s="141"/>
      <c r="E66" s="141"/>
      <c r="F66" s="141"/>
      <c r="G66" s="141"/>
      <c r="H66" s="141"/>
      <c r="I66" s="141"/>
      <c r="J66" s="141"/>
      <c r="L66" s="141"/>
      <c r="M66" s="141"/>
      <c r="N66" s="141"/>
      <c r="O66" s="141"/>
      <c r="P66" s="141"/>
      <c r="Q66" s="141"/>
      <c r="R66" s="141"/>
      <c r="S66" s="141"/>
      <c r="T66" s="141"/>
      <c r="U66" s="141"/>
    </row>
    <row r="67" spans="1:21">
      <c r="A67" s="141"/>
      <c r="B67" s="141"/>
      <c r="C67" s="141"/>
      <c r="D67" s="141"/>
      <c r="E67" s="141"/>
      <c r="F67" s="141"/>
      <c r="G67" s="141"/>
      <c r="H67" s="141"/>
      <c r="I67" s="141"/>
      <c r="J67" s="141"/>
      <c r="L67" s="141"/>
      <c r="M67" s="141"/>
      <c r="N67" s="141"/>
      <c r="O67" s="141"/>
      <c r="P67" s="141"/>
      <c r="Q67" s="141"/>
      <c r="R67" s="141"/>
      <c r="S67" s="141"/>
      <c r="T67" s="141"/>
      <c r="U67" s="141"/>
    </row>
    <row r="68" spans="1:21">
      <c r="A68" s="141"/>
      <c r="B68" s="141"/>
      <c r="C68" s="141"/>
      <c r="D68" s="141"/>
      <c r="E68" s="141"/>
      <c r="F68" s="141"/>
      <c r="G68" s="141"/>
      <c r="H68" s="141"/>
      <c r="I68" s="141"/>
      <c r="J68" s="141"/>
      <c r="L68" s="141"/>
      <c r="M68" s="141"/>
      <c r="N68" s="141"/>
      <c r="O68" s="141"/>
      <c r="P68" s="141"/>
      <c r="Q68" s="141"/>
      <c r="R68" s="141"/>
      <c r="S68" s="141"/>
      <c r="T68" s="141"/>
      <c r="U68" s="141"/>
    </row>
    <row r="69" spans="1:21">
      <c r="A69" s="141"/>
      <c r="B69" s="141"/>
      <c r="C69" s="141"/>
      <c r="D69" s="141"/>
      <c r="E69" s="141"/>
      <c r="F69" s="141"/>
      <c r="G69" s="141"/>
      <c r="H69" s="141"/>
      <c r="I69" s="141"/>
      <c r="J69" s="141"/>
      <c r="L69" s="141"/>
      <c r="M69" s="141"/>
      <c r="N69" s="141"/>
      <c r="O69" s="141"/>
      <c r="P69" s="141"/>
      <c r="Q69" s="141"/>
      <c r="R69" s="141"/>
      <c r="S69" s="141"/>
      <c r="T69" s="141"/>
      <c r="U69" s="141"/>
    </row>
    <row r="70" spans="1:21">
      <c r="A70" s="141"/>
      <c r="B70" s="141"/>
      <c r="C70" s="141"/>
      <c r="D70" s="141"/>
      <c r="E70" s="141"/>
      <c r="F70" s="141"/>
      <c r="G70" s="141"/>
      <c r="H70" s="141"/>
      <c r="I70" s="141"/>
      <c r="J70" s="141"/>
      <c r="L70" s="141"/>
      <c r="M70" s="141"/>
      <c r="N70" s="141"/>
      <c r="O70" s="141"/>
      <c r="P70" s="141"/>
      <c r="Q70" s="141"/>
      <c r="R70" s="141"/>
      <c r="S70" s="141"/>
      <c r="T70" s="141"/>
      <c r="U70" s="141"/>
    </row>
    <row r="71" spans="1:21">
      <c r="A71" s="141"/>
      <c r="B71" s="141"/>
      <c r="C71" s="141"/>
      <c r="D71" s="141"/>
      <c r="E71" s="141"/>
      <c r="F71" s="141"/>
      <c r="G71" s="141"/>
      <c r="H71" s="141"/>
      <c r="I71" s="141"/>
      <c r="J71" s="141"/>
      <c r="L71" s="141"/>
      <c r="M71" s="141"/>
      <c r="N71" s="141"/>
      <c r="O71" s="141"/>
      <c r="P71" s="141"/>
      <c r="Q71" s="141"/>
      <c r="R71" s="141"/>
      <c r="S71" s="141"/>
      <c r="T71" s="141"/>
      <c r="U71" s="141"/>
    </row>
    <row r="72" spans="1:21">
      <c r="A72" s="141"/>
      <c r="B72" s="141"/>
      <c r="C72" s="141"/>
      <c r="D72" s="141"/>
      <c r="E72" s="141"/>
      <c r="F72" s="141"/>
      <c r="G72" s="141"/>
      <c r="H72" s="141"/>
      <c r="I72" s="141"/>
      <c r="J72" s="141"/>
      <c r="L72" s="141"/>
      <c r="M72" s="141"/>
      <c r="N72" s="141"/>
      <c r="O72" s="141"/>
      <c r="P72" s="141"/>
      <c r="Q72" s="141"/>
      <c r="R72" s="141"/>
      <c r="S72" s="141"/>
      <c r="T72" s="141"/>
      <c r="U72" s="141"/>
    </row>
    <row r="73" spans="1:21">
      <c r="A73" s="141"/>
      <c r="B73" s="141"/>
      <c r="C73" s="141"/>
      <c r="D73" s="141"/>
      <c r="E73" s="141"/>
      <c r="F73" s="141"/>
      <c r="G73" s="141"/>
      <c r="H73" s="141"/>
      <c r="I73" s="141"/>
      <c r="J73" s="141"/>
      <c r="L73" s="141"/>
      <c r="M73" s="141"/>
      <c r="N73" s="141"/>
      <c r="O73" s="141"/>
      <c r="P73" s="141"/>
      <c r="Q73" s="141"/>
      <c r="R73" s="141"/>
      <c r="S73" s="141"/>
      <c r="T73" s="141"/>
      <c r="U73" s="141"/>
    </row>
    <row r="74" spans="1:21">
      <c r="A74" s="141"/>
      <c r="B74" s="141"/>
      <c r="C74" s="141"/>
      <c r="D74" s="141"/>
      <c r="E74" s="141"/>
      <c r="F74" s="141"/>
      <c r="G74" s="141"/>
      <c r="H74" s="141"/>
      <c r="I74" s="141"/>
      <c r="J74" s="141"/>
      <c r="L74" s="141"/>
      <c r="M74" s="141"/>
      <c r="N74" s="141"/>
      <c r="O74" s="141"/>
      <c r="P74" s="141"/>
      <c r="Q74" s="141"/>
      <c r="R74" s="141"/>
      <c r="S74" s="141"/>
      <c r="T74" s="141"/>
      <c r="U74" s="141"/>
    </row>
    <row r="75" spans="1:21">
      <c r="A75" s="141"/>
      <c r="B75" s="141"/>
      <c r="C75" s="141"/>
      <c r="D75" s="141"/>
      <c r="E75" s="141"/>
      <c r="F75" s="141"/>
      <c r="G75" s="141"/>
      <c r="H75" s="141"/>
      <c r="I75" s="141"/>
      <c r="J75" s="141"/>
      <c r="L75" s="141"/>
      <c r="M75" s="141"/>
      <c r="N75" s="141"/>
      <c r="O75" s="141"/>
      <c r="P75" s="141"/>
      <c r="Q75" s="141"/>
      <c r="R75" s="141"/>
      <c r="S75" s="141"/>
      <c r="T75" s="141"/>
      <c r="U75" s="141"/>
    </row>
    <row r="76" spans="1:21">
      <c r="A76" s="141"/>
      <c r="B76" s="141"/>
      <c r="C76" s="141"/>
      <c r="D76" s="141"/>
      <c r="E76" s="141"/>
      <c r="F76" s="141"/>
      <c r="G76" s="141"/>
      <c r="H76" s="141"/>
      <c r="I76" s="141"/>
      <c r="J76" s="141"/>
      <c r="L76" s="141"/>
      <c r="M76" s="141"/>
      <c r="N76" s="141"/>
      <c r="O76" s="141"/>
      <c r="P76" s="141"/>
      <c r="Q76" s="141"/>
      <c r="R76" s="141"/>
      <c r="S76" s="141"/>
      <c r="T76" s="141"/>
      <c r="U76" s="141"/>
    </row>
    <row r="77" spans="1:21">
      <c r="A77" s="141"/>
      <c r="B77" s="141"/>
      <c r="C77" s="141"/>
      <c r="D77" s="141"/>
      <c r="E77" s="141"/>
      <c r="F77" s="141"/>
      <c r="G77" s="141"/>
      <c r="H77" s="141"/>
      <c r="I77" s="141"/>
      <c r="J77" s="141"/>
      <c r="L77" s="141"/>
      <c r="M77" s="141"/>
      <c r="N77" s="141"/>
      <c r="O77" s="141"/>
      <c r="P77" s="141"/>
      <c r="Q77" s="141"/>
      <c r="R77" s="141"/>
      <c r="S77" s="141"/>
      <c r="T77" s="141"/>
      <c r="U77" s="141"/>
    </row>
    <row r="78" spans="1:21">
      <c r="A78" s="141"/>
      <c r="B78" s="141"/>
      <c r="C78" s="141"/>
      <c r="D78" s="141"/>
      <c r="E78" s="141"/>
      <c r="F78" s="141"/>
      <c r="G78" s="141"/>
      <c r="H78" s="141"/>
      <c r="I78" s="141"/>
      <c r="J78" s="141"/>
      <c r="L78" s="141"/>
      <c r="M78" s="141"/>
      <c r="N78" s="141"/>
      <c r="O78" s="141"/>
      <c r="P78" s="141"/>
      <c r="Q78" s="141"/>
      <c r="R78" s="141"/>
      <c r="S78" s="141"/>
      <c r="T78" s="141"/>
      <c r="U78" s="141"/>
    </row>
    <row r="79" spans="1:21">
      <c r="A79" s="141"/>
      <c r="B79" s="141"/>
      <c r="C79" s="141"/>
      <c r="D79" s="141"/>
      <c r="E79" s="141"/>
      <c r="F79" s="141"/>
      <c r="G79" s="141"/>
      <c r="H79" s="141"/>
      <c r="I79" s="141"/>
      <c r="J79" s="141"/>
      <c r="L79" s="141"/>
      <c r="M79" s="141"/>
      <c r="N79" s="141"/>
      <c r="O79" s="141"/>
      <c r="P79" s="141"/>
      <c r="Q79" s="141"/>
      <c r="R79" s="141"/>
      <c r="S79" s="141"/>
      <c r="T79" s="141"/>
      <c r="U79" s="141"/>
    </row>
    <row r="80" spans="1:21">
      <c r="A80" s="141"/>
      <c r="B80" s="141"/>
      <c r="C80" s="141"/>
      <c r="D80" s="141"/>
      <c r="E80" s="141"/>
      <c r="F80" s="141"/>
      <c r="G80" s="141"/>
      <c r="H80" s="141"/>
      <c r="I80" s="141"/>
      <c r="J80" s="141"/>
      <c r="L80" s="141"/>
      <c r="M80" s="141"/>
      <c r="N80" s="141"/>
      <c r="O80" s="141"/>
      <c r="P80" s="141"/>
      <c r="Q80" s="141"/>
      <c r="R80" s="141"/>
      <c r="S80" s="141"/>
      <c r="T80" s="141"/>
      <c r="U80" s="141"/>
    </row>
    <row r="81" spans="1:21">
      <c r="A81" s="141"/>
      <c r="B81" s="141"/>
      <c r="C81" s="141"/>
      <c r="D81" s="141"/>
      <c r="E81" s="141"/>
      <c r="F81" s="141"/>
      <c r="G81" s="141"/>
      <c r="H81" s="141"/>
      <c r="I81" s="141"/>
      <c r="J81" s="141"/>
      <c r="L81" s="141"/>
      <c r="M81" s="141"/>
      <c r="N81" s="141"/>
      <c r="O81" s="141"/>
      <c r="P81" s="141"/>
      <c r="Q81" s="141"/>
      <c r="R81" s="141"/>
      <c r="S81" s="141"/>
      <c r="T81" s="141"/>
      <c r="U81" s="141"/>
    </row>
    <row r="82" spans="1:21">
      <c r="A82" s="141"/>
      <c r="B82" s="141"/>
      <c r="C82" s="141"/>
      <c r="D82" s="141"/>
      <c r="E82" s="141"/>
      <c r="F82" s="141"/>
      <c r="G82" s="141"/>
      <c r="H82" s="141"/>
      <c r="I82" s="141"/>
      <c r="J82" s="141"/>
      <c r="L82" s="141"/>
      <c r="M82" s="141"/>
      <c r="N82" s="141"/>
      <c r="O82" s="141"/>
      <c r="P82" s="141"/>
      <c r="Q82" s="141"/>
      <c r="R82" s="141"/>
      <c r="S82" s="141"/>
      <c r="T82" s="141"/>
      <c r="U82" s="141"/>
    </row>
    <row r="83" spans="1:21">
      <c r="A83" s="141"/>
      <c r="B83" s="141"/>
      <c r="C83" s="141"/>
      <c r="D83" s="141"/>
      <c r="E83" s="141"/>
      <c r="F83" s="141"/>
      <c r="G83" s="141"/>
      <c r="H83" s="141"/>
      <c r="I83" s="141"/>
      <c r="J83" s="141"/>
      <c r="L83" s="141"/>
      <c r="M83" s="141"/>
      <c r="N83" s="141"/>
      <c r="O83" s="141"/>
      <c r="P83" s="141"/>
      <c r="Q83" s="141"/>
      <c r="R83" s="141"/>
      <c r="S83" s="141"/>
      <c r="T83" s="141"/>
      <c r="U83" s="141"/>
    </row>
    <row r="84" spans="1:21">
      <c r="A84" s="141"/>
      <c r="B84" s="141"/>
      <c r="C84" s="141"/>
      <c r="D84" s="141"/>
      <c r="E84" s="141"/>
      <c r="F84" s="141"/>
      <c r="G84" s="141"/>
      <c r="H84" s="141"/>
      <c r="I84" s="141"/>
      <c r="J84" s="141"/>
      <c r="L84" s="141"/>
      <c r="M84" s="141"/>
      <c r="N84" s="141"/>
      <c r="O84" s="141"/>
      <c r="P84" s="141"/>
      <c r="Q84" s="141"/>
      <c r="R84" s="141"/>
      <c r="S84" s="141"/>
      <c r="T84" s="141"/>
      <c r="U84" s="141"/>
    </row>
    <row r="85" spans="1:21">
      <c r="A85" s="141"/>
      <c r="B85" s="141"/>
      <c r="C85" s="141"/>
      <c r="D85" s="141"/>
      <c r="E85" s="141"/>
      <c r="F85" s="141"/>
      <c r="G85" s="141"/>
      <c r="H85" s="141"/>
      <c r="I85" s="141"/>
      <c r="J85" s="141"/>
      <c r="L85" s="141"/>
      <c r="M85" s="141"/>
      <c r="N85" s="141"/>
      <c r="O85" s="141"/>
      <c r="P85" s="141"/>
      <c r="Q85" s="141"/>
      <c r="R85" s="141"/>
      <c r="S85" s="141"/>
      <c r="T85" s="141"/>
      <c r="U85" s="141"/>
    </row>
    <row r="86" spans="1:21">
      <c r="A86" s="141"/>
      <c r="B86" s="141"/>
      <c r="C86" s="141"/>
      <c r="D86" s="141"/>
      <c r="E86" s="141"/>
      <c r="F86" s="141"/>
      <c r="G86" s="141"/>
      <c r="H86" s="141"/>
      <c r="I86" s="141"/>
      <c r="J86" s="141"/>
      <c r="L86" s="141"/>
      <c r="M86" s="141"/>
      <c r="N86" s="141"/>
      <c r="O86" s="141"/>
      <c r="P86" s="141"/>
      <c r="Q86" s="141"/>
      <c r="R86" s="141"/>
      <c r="S86" s="141"/>
      <c r="T86" s="141"/>
      <c r="U86" s="141"/>
    </row>
    <row r="87" spans="1:21">
      <c r="A87" s="141"/>
      <c r="B87" s="141"/>
      <c r="C87" s="141"/>
      <c r="D87" s="141"/>
      <c r="E87" s="141"/>
      <c r="F87" s="141"/>
      <c r="G87" s="141"/>
      <c r="H87" s="141"/>
      <c r="I87" s="141"/>
      <c r="J87" s="141"/>
      <c r="L87" s="141"/>
      <c r="M87" s="141"/>
      <c r="N87" s="141"/>
      <c r="O87" s="141"/>
      <c r="P87" s="141"/>
      <c r="Q87" s="141"/>
      <c r="R87" s="141"/>
      <c r="S87" s="141"/>
      <c r="T87" s="141"/>
      <c r="U87" s="141"/>
    </row>
    <row r="88" spans="1:21">
      <c r="A88" s="141"/>
      <c r="B88" s="141"/>
      <c r="C88" s="141"/>
      <c r="D88" s="141"/>
      <c r="E88" s="141"/>
      <c r="F88" s="141"/>
      <c r="G88" s="141"/>
      <c r="H88" s="141"/>
      <c r="I88" s="141"/>
      <c r="J88" s="141"/>
      <c r="L88" s="141"/>
      <c r="M88" s="141"/>
      <c r="N88" s="141"/>
      <c r="O88" s="141"/>
      <c r="P88" s="141"/>
      <c r="Q88" s="141"/>
      <c r="R88" s="141"/>
      <c r="S88" s="141"/>
      <c r="T88" s="141"/>
      <c r="U88" s="141"/>
    </row>
    <row r="89" spans="1:21">
      <c r="A89" s="141"/>
      <c r="B89" s="141"/>
      <c r="C89" s="141"/>
      <c r="D89" s="141"/>
      <c r="E89" s="141"/>
      <c r="F89" s="141"/>
      <c r="G89" s="141"/>
      <c r="H89" s="141"/>
      <c r="I89" s="141"/>
      <c r="J89" s="141"/>
      <c r="L89" s="141"/>
      <c r="M89" s="141"/>
      <c r="N89" s="141"/>
      <c r="O89" s="141"/>
      <c r="P89" s="141"/>
      <c r="Q89" s="141"/>
      <c r="R89" s="141"/>
      <c r="S89" s="141"/>
      <c r="T89" s="141"/>
      <c r="U89" s="141"/>
    </row>
    <row r="90" spans="1:21">
      <c r="A90" s="141"/>
      <c r="B90" s="141"/>
      <c r="C90" s="141"/>
      <c r="D90" s="141"/>
      <c r="E90" s="141"/>
      <c r="F90" s="141"/>
      <c r="G90" s="141"/>
      <c r="H90" s="141"/>
      <c r="I90" s="141"/>
      <c r="J90" s="141"/>
      <c r="L90" s="141"/>
      <c r="M90" s="141"/>
      <c r="N90" s="141"/>
      <c r="O90" s="141"/>
      <c r="P90" s="141"/>
      <c r="Q90" s="141"/>
      <c r="R90" s="141"/>
      <c r="S90" s="141"/>
      <c r="T90" s="141"/>
      <c r="U90" s="141"/>
    </row>
    <row r="91" spans="1:21">
      <c r="A91" s="141"/>
      <c r="B91" s="141"/>
      <c r="C91" s="141"/>
      <c r="D91" s="141"/>
      <c r="E91" s="141"/>
      <c r="F91" s="141"/>
      <c r="G91" s="141"/>
      <c r="H91" s="141"/>
      <c r="I91" s="141"/>
      <c r="J91" s="141"/>
      <c r="L91" s="141"/>
      <c r="M91" s="141"/>
      <c r="N91" s="141"/>
      <c r="O91" s="141"/>
      <c r="P91" s="141"/>
      <c r="Q91" s="141"/>
      <c r="R91" s="141"/>
      <c r="S91" s="141"/>
      <c r="T91" s="141"/>
      <c r="U91" s="141"/>
    </row>
    <row r="92" spans="1:21">
      <c r="A92" s="141"/>
      <c r="B92" s="141"/>
      <c r="C92" s="141"/>
      <c r="D92" s="141"/>
      <c r="E92" s="141"/>
      <c r="F92" s="141"/>
      <c r="G92" s="141"/>
      <c r="H92" s="141"/>
      <c r="I92" s="141"/>
      <c r="J92" s="141"/>
      <c r="L92" s="141"/>
      <c r="M92" s="141"/>
      <c r="N92" s="141"/>
      <c r="O92" s="141"/>
      <c r="P92" s="141"/>
      <c r="Q92" s="141"/>
      <c r="R92" s="141"/>
      <c r="S92" s="141"/>
      <c r="T92" s="141"/>
      <c r="U92" s="141"/>
    </row>
    <row r="93" spans="1:21">
      <c r="A93" s="141"/>
      <c r="B93" s="141"/>
      <c r="C93" s="141"/>
      <c r="D93" s="141"/>
      <c r="E93" s="141"/>
      <c r="F93" s="141"/>
      <c r="G93" s="141"/>
      <c r="H93" s="141"/>
      <c r="I93" s="141"/>
      <c r="J93" s="141"/>
      <c r="L93" s="141"/>
      <c r="M93" s="141"/>
      <c r="N93" s="141"/>
      <c r="O93" s="141"/>
      <c r="P93" s="141"/>
      <c r="Q93" s="141"/>
      <c r="R93" s="141"/>
      <c r="S93" s="141"/>
      <c r="T93" s="141"/>
      <c r="U93" s="141"/>
    </row>
    <row r="94" spans="1:21">
      <c r="A94" s="141"/>
      <c r="B94" s="141"/>
      <c r="C94" s="141"/>
      <c r="D94" s="141"/>
      <c r="E94" s="141"/>
      <c r="F94" s="141"/>
      <c r="G94" s="141"/>
      <c r="H94" s="141"/>
      <c r="I94" s="141"/>
      <c r="J94" s="141"/>
      <c r="L94" s="141"/>
      <c r="M94" s="141"/>
      <c r="N94" s="141"/>
      <c r="O94" s="141"/>
      <c r="P94" s="141"/>
      <c r="Q94" s="141"/>
      <c r="R94" s="141"/>
      <c r="S94" s="141"/>
      <c r="T94" s="141"/>
      <c r="U94" s="141"/>
    </row>
    <row r="95" spans="1:21">
      <c r="A95" s="141"/>
      <c r="B95" s="141"/>
      <c r="C95" s="141"/>
      <c r="D95" s="141"/>
      <c r="E95" s="141"/>
      <c r="F95" s="141"/>
      <c r="G95" s="141"/>
      <c r="H95" s="141"/>
      <c r="I95" s="141"/>
      <c r="J95" s="141"/>
      <c r="L95" s="141"/>
      <c r="M95" s="141"/>
      <c r="N95" s="141"/>
      <c r="O95" s="141"/>
      <c r="P95" s="141"/>
      <c r="Q95" s="141"/>
      <c r="R95" s="141"/>
      <c r="S95" s="141"/>
      <c r="T95" s="141"/>
      <c r="U95" s="141"/>
    </row>
    <row r="96" spans="1:21">
      <c r="A96" s="141"/>
      <c r="B96" s="141"/>
      <c r="C96" s="141"/>
      <c r="D96" s="141"/>
      <c r="E96" s="141"/>
      <c r="F96" s="141"/>
      <c r="G96" s="141"/>
      <c r="H96" s="141"/>
      <c r="I96" s="141"/>
      <c r="J96" s="141"/>
      <c r="L96" s="141"/>
      <c r="M96" s="141"/>
      <c r="N96" s="141"/>
      <c r="O96" s="141"/>
      <c r="P96" s="141"/>
      <c r="Q96" s="141"/>
      <c r="R96" s="141"/>
      <c r="S96" s="141"/>
      <c r="T96" s="141"/>
      <c r="U96" s="141"/>
    </row>
    <row r="97" spans="1:21">
      <c r="A97" s="141"/>
      <c r="B97" s="141"/>
      <c r="C97" s="141"/>
      <c r="D97" s="141"/>
      <c r="E97" s="141"/>
      <c r="F97" s="141"/>
      <c r="G97" s="141"/>
      <c r="H97" s="141"/>
      <c r="I97" s="141"/>
      <c r="J97" s="141"/>
      <c r="L97" s="141"/>
      <c r="M97" s="141"/>
      <c r="N97" s="141"/>
      <c r="O97" s="141"/>
      <c r="P97" s="141"/>
      <c r="Q97" s="141"/>
      <c r="R97" s="141"/>
      <c r="S97" s="141"/>
      <c r="T97" s="141"/>
      <c r="U97" s="141"/>
    </row>
    <row r="98" spans="1:21">
      <c r="A98" s="141"/>
      <c r="B98" s="141"/>
      <c r="C98" s="141"/>
      <c r="D98" s="141"/>
      <c r="E98" s="141"/>
      <c r="F98" s="141"/>
      <c r="G98" s="141"/>
      <c r="H98" s="141"/>
      <c r="I98" s="141"/>
      <c r="J98" s="141"/>
      <c r="L98" s="141"/>
      <c r="M98" s="141"/>
      <c r="N98" s="141"/>
      <c r="O98" s="141"/>
      <c r="P98" s="141"/>
      <c r="Q98" s="141"/>
      <c r="R98" s="141"/>
      <c r="S98" s="141"/>
      <c r="T98" s="141"/>
      <c r="U98" s="141"/>
    </row>
    <row r="99" spans="1:21">
      <c r="A99" s="141"/>
      <c r="B99" s="141"/>
      <c r="C99" s="141"/>
      <c r="D99" s="141"/>
      <c r="E99" s="141"/>
      <c r="F99" s="141"/>
      <c r="G99" s="141"/>
      <c r="H99" s="141"/>
      <c r="I99" s="141"/>
      <c r="J99" s="141"/>
      <c r="L99" s="141"/>
      <c r="M99" s="141"/>
      <c r="N99" s="141"/>
      <c r="O99" s="141"/>
      <c r="P99" s="141"/>
      <c r="Q99" s="141"/>
      <c r="R99" s="141"/>
      <c r="S99" s="141"/>
      <c r="T99" s="141"/>
      <c r="U99" s="141"/>
    </row>
    <row r="100" spans="1:21">
      <c r="A100" s="141"/>
      <c r="B100" s="141"/>
      <c r="C100" s="141"/>
      <c r="D100" s="141"/>
      <c r="E100" s="141"/>
      <c r="F100" s="141"/>
      <c r="G100" s="141"/>
      <c r="H100" s="141"/>
      <c r="I100" s="141"/>
      <c r="J100" s="141"/>
      <c r="L100" s="141"/>
      <c r="M100" s="141"/>
      <c r="N100" s="141"/>
      <c r="O100" s="141"/>
      <c r="P100" s="141"/>
      <c r="Q100" s="141"/>
      <c r="R100" s="141"/>
      <c r="S100" s="141"/>
      <c r="T100" s="141"/>
      <c r="U100" s="141"/>
    </row>
    <row r="101" spans="1:21">
      <c r="A101" s="141"/>
      <c r="B101" s="141"/>
      <c r="C101" s="141"/>
      <c r="D101" s="141"/>
      <c r="E101" s="141"/>
      <c r="F101" s="141"/>
      <c r="G101" s="141"/>
      <c r="H101" s="141"/>
      <c r="I101" s="141"/>
      <c r="J101" s="141"/>
      <c r="L101" s="141"/>
      <c r="M101" s="141"/>
      <c r="N101" s="141"/>
      <c r="O101" s="141"/>
      <c r="P101" s="141"/>
      <c r="Q101" s="141"/>
      <c r="R101" s="141"/>
      <c r="S101" s="141"/>
      <c r="T101" s="141"/>
      <c r="U101" s="141"/>
    </row>
    <row r="102" spans="1:21">
      <c r="A102" s="141"/>
      <c r="B102" s="141"/>
      <c r="C102" s="141"/>
      <c r="D102" s="141"/>
      <c r="E102" s="141"/>
      <c r="F102" s="141"/>
      <c r="G102" s="141"/>
      <c r="H102" s="141"/>
      <c r="I102" s="141"/>
      <c r="J102" s="141"/>
      <c r="L102" s="141"/>
      <c r="M102" s="141"/>
      <c r="N102" s="141"/>
      <c r="O102" s="141"/>
      <c r="P102" s="141"/>
      <c r="Q102" s="141"/>
      <c r="R102" s="141"/>
      <c r="S102" s="141"/>
      <c r="T102" s="141"/>
      <c r="U102" s="141"/>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104</v>
      </c>
      <c r="D3" s="4"/>
      <c r="E3" s="4"/>
      <c r="F3" s="4"/>
      <c r="G3" s="4"/>
      <c r="H3" s="4"/>
      <c r="I3" s="4"/>
      <c r="J3" s="4"/>
      <c r="K3" s="4"/>
      <c r="L3" s="4"/>
      <c r="M3" s="4"/>
      <c r="AA3" s="4" t="s">
        <v>125</v>
      </c>
      <c r="AB3" s="4"/>
      <c r="AC3" s="4"/>
      <c r="AD3" s="4"/>
      <c r="AE3" s="4"/>
      <c r="AF3" s="4"/>
      <c r="AG3" s="4"/>
      <c r="AH3" s="4"/>
      <c r="AI3" s="4"/>
      <c r="AJ3" s="4"/>
      <c r="AK3" s="4"/>
      <c r="AL3" s="4"/>
      <c r="AM3" s="4"/>
      <c r="AN3" s="4"/>
      <c r="AO3" s="14"/>
    </row>
    <row r="4" spans="3:51" ht="15" thickTop="1"/>
    <row r="5" spans="3:51" ht="18" customHeight="1">
      <c r="C5" s="292" t="str">
        <f>"Table 1. Racial composition of "&amp; City_label &amp; " and " &amp; County_label&amp; ", 2015 and 2020"</f>
        <v>Table 1. Racial composition of Algona and King County, 2015 and 2020</v>
      </c>
      <c r="D5" s="292"/>
      <c r="E5" s="292"/>
      <c r="F5" s="292"/>
      <c r="G5" s="292"/>
      <c r="H5" s="292"/>
      <c r="I5" s="292"/>
      <c r="J5" s="292"/>
      <c r="K5" s="292"/>
      <c r="L5" s="292"/>
      <c r="M5" s="292"/>
      <c r="AA5" s="16" t="s">
        <v>126</v>
      </c>
      <c r="AB5" s="295" t="str">
        <f>City</f>
        <v>Algona city, Washington</v>
      </c>
      <c r="AC5" s="295"/>
      <c r="AM5" s="24"/>
    </row>
    <row r="6" spans="3:51" ht="15.75">
      <c r="C6" s="292"/>
      <c r="D6" s="292"/>
      <c r="E6" s="292"/>
      <c r="F6" s="292"/>
      <c r="G6" s="292"/>
      <c r="H6" s="292"/>
      <c r="I6" s="292"/>
      <c r="J6" s="292"/>
      <c r="K6" s="292"/>
      <c r="L6" s="292"/>
      <c r="M6" s="292"/>
      <c r="AA6" s="16" t="s">
        <v>127</v>
      </c>
      <c r="AB6" s="295" t="str">
        <f>County</f>
        <v>King County, Washington</v>
      </c>
      <c r="AC6" s="295"/>
      <c r="AL6" s="24"/>
    </row>
    <row r="7" spans="3:51" ht="15" thickBot="1"/>
    <row r="8" spans="3:51">
      <c r="C8" s="56"/>
      <c r="D8" s="56"/>
      <c r="E8" s="56"/>
      <c r="F8" s="56"/>
      <c r="G8" s="57" t="str">
        <f>City_label</f>
        <v>Algona</v>
      </c>
      <c r="H8" s="57"/>
      <c r="I8" s="56"/>
      <c r="J8" s="56"/>
      <c r="K8" s="57" t="str">
        <f>County_label</f>
        <v>King County</v>
      </c>
      <c r="L8" s="57"/>
      <c r="M8" s="57"/>
    </row>
    <row r="9" spans="3:51">
      <c r="C9" s="58" t="s">
        <v>128</v>
      </c>
      <c r="D9" s="58"/>
      <c r="E9" s="58"/>
      <c r="F9" s="58"/>
      <c r="G9" s="59">
        <v>2015</v>
      </c>
      <c r="H9" s="59">
        <v>2020</v>
      </c>
      <c r="I9" s="59" t="s">
        <v>129</v>
      </c>
      <c r="J9" s="60"/>
      <c r="K9" s="59">
        <v>2015</v>
      </c>
      <c r="L9" s="59">
        <v>2020</v>
      </c>
      <c r="M9" s="59" t="s">
        <v>129</v>
      </c>
    </row>
    <row r="10" spans="3:51" ht="15">
      <c r="C10" s="21" t="str">
        <f>AC15</f>
        <v>American Indian and Alaska Native</v>
      </c>
      <c r="D10" s="21"/>
      <c r="E10" s="21"/>
      <c r="F10" s="21"/>
      <c r="G10" s="61">
        <f>AE15</f>
        <v>28</v>
      </c>
      <c r="H10" s="61">
        <f>AF15</f>
        <v>34</v>
      </c>
      <c r="I10" s="61">
        <f t="shared" ref="I10:I17" si="0">H10-G10</f>
        <v>6</v>
      </c>
      <c r="J10" s="21"/>
      <c r="K10" s="61">
        <f>AK15</f>
        <v>11972</v>
      </c>
      <c r="L10" s="61">
        <f>AL15</f>
        <v>10307</v>
      </c>
      <c r="M10" s="61">
        <f t="shared" ref="M10:M17" si="1">L10-K10</f>
        <v>-1665</v>
      </c>
      <c r="AE10" s="28" t="str">
        <f>City_label</f>
        <v>Algona</v>
      </c>
      <c r="AF10" s="28" t="str">
        <f>City_label</f>
        <v>Algona</v>
      </c>
      <c r="AG10" s="28" t="str">
        <f>City_label</f>
        <v>Algona</v>
      </c>
      <c r="AH10" s="28" t="str">
        <f>City_label</f>
        <v>Algona</v>
      </c>
      <c r="AI10" s="28" t="str">
        <f>City_label</f>
        <v>Algona</v>
      </c>
      <c r="AK10" s="28" t="str">
        <f>County_label</f>
        <v>King County</v>
      </c>
      <c r="AL10" s="28" t="str">
        <f>County_label</f>
        <v>King County</v>
      </c>
      <c r="AM10" s="28" t="str">
        <f>County_label</f>
        <v>King County</v>
      </c>
      <c r="AN10" s="28" t="str">
        <f>County_label</f>
        <v>King County</v>
      </c>
      <c r="AP10" s="28"/>
    </row>
    <row r="11" spans="3:51" ht="15">
      <c r="C11" s="21" t="str">
        <f>AC16</f>
        <v>Asian</v>
      </c>
      <c r="D11" s="21"/>
      <c r="E11" s="21"/>
      <c r="F11" s="21"/>
      <c r="G11" s="61">
        <f>AE16</f>
        <v>268</v>
      </c>
      <c r="H11" s="61">
        <f>AF16</f>
        <v>542</v>
      </c>
      <c r="I11" s="61">
        <f t="shared" si="0"/>
        <v>274</v>
      </c>
      <c r="J11" s="21"/>
      <c r="K11" s="61">
        <f>AK16</f>
        <v>317214</v>
      </c>
      <c r="L11" s="61">
        <f>AL16</f>
        <v>405835</v>
      </c>
      <c r="M11" s="61">
        <f t="shared" si="1"/>
        <v>88621</v>
      </c>
      <c r="AE11" s="28">
        <v>2015</v>
      </c>
      <c r="AF11" s="28">
        <v>2020</v>
      </c>
      <c r="AG11" s="28">
        <v>2015</v>
      </c>
      <c r="AH11" s="28">
        <v>2020</v>
      </c>
      <c r="AI11" s="28">
        <v>2020</v>
      </c>
      <c r="AJ11" s="28"/>
      <c r="AK11" s="28">
        <v>2015</v>
      </c>
      <c r="AL11" s="28">
        <v>2020</v>
      </c>
      <c r="AM11" s="28">
        <v>2015</v>
      </c>
      <c r="AN11" s="28">
        <v>2020</v>
      </c>
      <c r="AP11" s="24"/>
      <c r="AY11" s="24"/>
    </row>
    <row r="12" spans="3:51" ht="15">
      <c r="C12" s="21" t="str">
        <f>AC14</f>
        <v>Black or African American</v>
      </c>
      <c r="D12" s="21"/>
      <c r="E12" s="21"/>
      <c r="F12" s="21"/>
      <c r="G12" s="61">
        <f>AE14</f>
        <v>82</v>
      </c>
      <c r="H12" s="61">
        <f>AF14</f>
        <v>224</v>
      </c>
      <c r="I12" s="61">
        <f t="shared" si="0"/>
        <v>142</v>
      </c>
      <c r="J12" s="21"/>
      <c r="K12" s="61">
        <f>AK14</f>
        <v>123350</v>
      </c>
      <c r="L12" s="61">
        <f>AL14</f>
        <v>141566</v>
      </c>
      <c r="M12" s="61">
        <f t="shared" si="1"/>
        <v>18216</v>
      </c>
      <c r="AA12" s="28">
        <v>2015</v>
      </c>
      <c r="AB12" s="28">
        <v>2020</v>
      </c>
      <c r="AC12" s="16" t="s">
        <v>130</v>
      </c>
      <c r="AE12" s="28" t="s">
        <v>131</v>
      </c>
      <c r="AF12" s="28" t="s">
        <v>131</v>
      </c>
      <c r="AG12" s="28" t="s">
        <v>132</v>
      </c>
      <c r="AH12" s="28" t="s">
        <v>132</v>
      </c>
      <c r="AI12" s="39" t="s">
        <v>133</v>
      </c>
      <c r="AJ12" s="39"/>
      <c r="AK12" s="28" t="s">
        <v>131</v>
      </c>
      <c r="AL12" s="28" t="s">
        <v>131</v>
      </c>
      <c r="AM12" s="28" t="s">
        <v>132</v>
      </c>
      <c r="AN12" s="28" t="s">
        <v>132</v>
      </c>
      <c r="AP12" s="28"/>
      <c r="AU12" s="24"/>
      <c r="AV12" s="24"/>
      <c r="AX12" s="24"/>
    </row>
    <row r="13" spans="3:51">
      <c r="C13" s="21" t="str">
        <f>AC20</f>
        <v>Hispanic or Latino (of any race)</v>
      </c>
      <c r="D13" s="21"/>
      <c r="E13" s="21"/>
      <c r="F13" s="21"/>
      <c r="G13" s="61">
        <f>AE20</f>
        <v>459</v>
      </c>
      <c r="H13" s="61">
        <f>AF20</f>
        <v>833</v>
      </c>
      <c r="I13" s="61">
        <f t="shared" si="0"/>
        <v>374</v>
      </c>
      <c r="J13" s="21"/>
      <c r="K13" s="61">
        <f>AK20</f>
        <v>189808</v>
      </c>
      <c r="L13" s="61">
        <f>AL20</f>
        <v>218763</v>
      </c>
      <c r="M13" s="61">
        <f t="shared" si="1"/>
        <v>28955</v>
      </c>
      <c r="AA13" s="103" t="s">
        <v>134</v>
      </c>
      <c r="AB13" s="103" t="s">
        <v>135</v>
      </c>
      <c r="AC13" t="s">
        <v>136</v>
      </c>
      <c r="AE13" s="1">
        <v>1952</v>
      </c>
      <c r="AF13" s="1">
        <v>1206</v>
      </c>
      <c r="AG13" s="6">
        <f t="shared" ref="AG13:AH20" si="2">AE13/AE$21</f>
        <v>0.62825877051818479</v>
      </c>
      <c r="AH13" s="6">
        <f t="shared" si="2"/>
        <v>0.37605238540692237</v>
      </c>
      <c r="AI13" t="str">
        <f t="shared" ref="AI13:AI20" si="3">TEXT(AF13,"#,##0")&amp;CHAR(10)&amp;"("&amp;TEXT(AH13,"0%"&amp;")")</f>
        <v>1,206
(38%)</v>
      </c>
      <c r="AK13" s="1">
        <v>1284684</v>
      </c>
      <c r="AL13" s="1">
        <v>1295401</v>
      </c>
      <c r="AM13" s="6">
        <f t="shared" ref="AM13:AM20" si="4">AK13/$AK$21</f>
        <v>0.62797518374625327</v>
      </c>
      <c r="AN13" s="6">
        <f t="shared" ref="AN13:AN20" si="5">AL13/AL$21</f>
        <v>0.58218595060636458</v>
      </c>
      <c r="AP13" s="6"/>
      <c r="AU13" s="30"/>
      <c r="AV13" s="30"/>
      <c r="AX13" s="6"/>
      <c r="AY13" s="6"/>
    </row>
    <row r="14" spans="3:51">
      <c r="C14" s="21" t="str">
        <f>AC17</f>
        <v>Native Hawaiian and Other Pacific Islander</v>
      </c>
      <c r="D14" s="21"/>
      <c r="E14" s="21"/>
      <c r="F14" s="21"/>
      <c r="G14" s="61">
        <f t="shared" ref="G14:H16" si="6">AE17</f>
        <v>129</v>
      </c>
      <c r="H14" s="61">
        <f t="shared" si="6"/>
        <v>51</v>
      </c>
      <c r="I14" s="61">
        <f t="shared" si="0"/>
        <v>-78</v>
      </c>
      <c r="J14" s="21"/>
      <c r="K14" s="61">
        <f t="shared" ref="K14:L16" si="7">AK17</f>
        <v>15681</v>
      </c>
      <c r="L14" s="61">
        <f t="shared" si="7"/>
        <v>16673</v>
      </c>
      <c r="M14" s="61">
        <f t="shared" si="1"/>
        <v>992</v>
      </c>
      <c r="AA14" s="103" t="s">
        <v>137</v>
      </c>
      <c r="AB14" s="103" t="s">
        <v>138</v>
      </c>
      <c r="AC14" t="s">
        <v>139</v>
      </c>
      <c r="AE14" s="1">
        <v>82</v>
      </c>
      <c r="AF14" s="1">
        <v>224</v>
      </c>
      <c r="AG14" s="6">
        <f t="shared" si="2"/>
        <v>2.6392018023817188E-2</v>
      </c>
      <c r="AH14" s="6">
        <f t="shared" si="2"/>
        <v>6.984720922980979E-2</v>
      </c>
      <c r="AI14" t="str">
        <f t="shared" si="3"/>
        <v>224
(7%)</v>
      </c>
      <c r="AK14" s="1">
        <v>123350</v>
      </c>
      <c r="AL14" s="1">
        <v>141566</v>
      </c>
      <c r="AM14" s="6">
        <f t="shared" si="4"/>
        <v>6.0295558219064245E-2</v>
      </c>
      <c r="AN14" s="6">
        <f t="shared" si="5"/>
        <v>6.3623338474758484E-2</v>
      </c>
      <c r="AP14" s="6"/>
      <c r="AU14" s="30"/>
      <c r="AV14" s="30"/>
      <c r="AX14" s="6"/>
      <c r="AY14" s="6"/>
    </row>
    <row r="15" spans="3:51">
      <c r="C15" s="21" t="str">
        <f>AC18</f>
        <v>Other Race</v>
      </c>
      <c r="D15" s="21"/>
      <c r="E15" s="21"/>
      <c r="F15" s="21"/>
      <c r="G15" s="61">
        <f t="shared" si="6"/>
        <v>0</v>
      </c>
      <c r="H15" s="61">
        <f t="shared" si="6"/>
        <v>0</v>
      </c>
      <c r="I15" s="61">
        <f t="shared" si="0"/>
        <v>0</v>
      </c>
      <c r="J15" s="21"/>
      <c r="K15" s="61">
        <f t="shared" si="7"/>
        <v>3756</v>
      </c>
      <c r="L15" s="61">
        <f t="shared" si="7"/>
        <v>9449</v>
      </c>
      <c r="M15" s="61">
        <f t="shared" si="1"/>
        <v>5693</v>
      </c>
      <c r="AA15" s="103" t="s">
        <v>140</v>
      </c>
      <c r="AB15" s="103" t="s">
        <v>141</v>
      </c>
      <c r="AC15" t="s">
        <v>142</v>
      </c>
      <c r="AE15" s="1">
        <v>28</v>
      </c>
      <c r="AF15" s="1">
        <v>34</v>
      </c>
      <c r="AG15" s="6">
        <f t="shared" si="2"/>
        <v>9.0119085934985514E-3</v>
      </c>
      <c r="AH15" s="6">
        <f t="shared" si="2"/>
        <v>1.0601808543810414E-2</v>
      </c>
      <c r="AI15" t="str">
        <f t="shared" si="3"/>
        <v>34
(1%)</v>
      </c>
      <c r="AK15" s="1">
        <v>11972</v>
      </c>
      <c r="AL15" s="1">
        <v>10307</v>
      </c>
      <c r="AM15" s="6">
        <f t="shared" si="4"/>
        <v>5.8521153060286761E-3</v>
      </c>
      <c r="AN15" s="6">
        <f t="shared" si="5"/>
        <v>4.6322263089960559E-3</v>
      </c>
      <c r="AP15" s="6"/>
      <c r="AU15" s="30"/>
      <c r="AV15" s="30"/>
      <c r="AX15" s="6"/>
      <c r="AY15" s="6"/>
    </row>
    <row r="16" spans="3:51">
      <c r="C16" s="21" t="str">
        <f>AC19</f>
        <v>Two or more races</v>
      </c>
      <c r="D16" s="21"/>
      <c r="E16" s="21"/>
      <c r="F16" s="21"/>
      <c r="G16" s="61">
        <f t="shared" si="6"/>
        <v>189</v>
      </c>
      <c r="H16" s="61">
        <f t="shared" si="6"/>
        <v>317</v>
      </c>
      <c r="I16" s="61">
        <f t="shared" si="0"/>
        <v>128</v>
      </c>
      <c r="J16" s="21"/>
      <c r="K16" s="61">
        <f t="shared" si="7"/>
        <v>99291</v>
      </c>
      <c r="L16" s="61">
        <f t="shared" si="7"/>
        <v>127070</v>
      </c>
      <c r="M16" s="61">
        <f t="shared" si="1"/>
        <v>27779</v>
      </c>
      <c r="AA16" s="103" t="s">
        <v>143</v>
      </c>
      <c r="AB16" s="103" t="s">
        <v>144</v>
      </c>
      <c r="AC16" t="s">
        <v>145</v>
      </c>
      <c r="AE16" s="1">
        <v>268</v>
      </c>
      <c r="AF16" s="1">
        <v>542</v>
      </c>
      <c r="AG16" s="6">
        <f t="shared" si="2"/>
        <v>8.6256839394914714E-2</v>
      </c>
      <c r="AH16" s="6">
        <f t="shared" si="2"/>
        <v>0.1690053009042719</v>
      </c>
      <c r="AI16" t="str">
        <f t="shared" si="3"/>
        <v>542
(17%)</v>
      </c>
      <c r="AK16" s="1">
        <v>317214</v>
      </c>
      <c r="AL16" s="1">
        <v>405835</v>
      </c>
      <c r="AM16" s="6">
        <f t="shared" si="4"/>
        <v>0.15505954766844141</v>
      </c>
      <c r="AN16" s="6">
        <f t="shared" si="5"/>
        <v>0.18239250646273544</v>
      </c>
      <c r="AP16" s="6"/>
      <c r="AU16" s="30"/>
      <c r="AV16" s="30"/>
      <c r="AX16" s="6"/>
      <c r="AY16" s="6"/>
    </row>
    <row r="17" spans="3:51">
      <c r="C17" s="21" t="str">
        <f>AC13</f>
        <v>White</v>
      </c>
      <c r="D17" s="21"/>
      <c r="E17" s="21"/>
      <c r="F17" s="21"/>
      <c r="G17" s="61">
        <f>AE13</f>
        <v>1952</v>
      </c>
      <c r="H17" s="61">
        <f>AF13</f>
        <v>1206</v>
      </c>
      <c r="I17" s="61">
        <f t="shared" si="0"/>
        <v>-746</v>
      </c>
      <c r="J17" s="21"/>
      <c r="K17" s="61">
        <f>AK13</f>
        <v>1284684</v>
      </c>
      <c r="L17" s="61">
        <f>AL13</f>
        <v>1295401</v>
      </c>
      <c r="M17" s="61">
        <f t="shared" si="1"/>
        <v>10717</v>
      </c>
      <c r="AA17" s="103" t="s">
        <v>146</v>
      </c>
      <c r="AB17" s="103" t="s">
        <v>147</v>
      </c>
      <c r="AC17" t="s">
        <v>148</v>
      </c>
      <c r="AE17" s="1">
        <v>129</v>
      </c>
      <c r="AF17" s="1">
        <v>51</v>
      </c>
      <c r="AG17" s="6">
        <f t="shared" si="2"/>
        <v>4.1519150305761185E-2</v>
      </c>
      <c r="AH17" s="6">
        <f t="shared" si="2"/>
        <v>1.5902712815715623E-2</v>
      </c>
      <c r="AI17" t="str">
        <f t="shared" si="3"/>
        <v>51
(2%)</v>
      </c>
      <c r="AK17" s="1">
        <v>15681</v>
      </c>
      <c r="AL17" s="1">
        <v>16673</v>
      </c>
      <c r="AM17" s="6">
        <f t="shared" si="4"/>
        <v>7.665136995809862E-3</v>
      </c>
      <c r="AN17" s="6">
        <f t="shared" si="5"/>
        <v>7.4932676093811233E-3</v>
      </c>
      <c r="AP17" s="6"/>
      <c r="AU17" s="30"/>
      <c r="AV17" s="30"/>
      <c r="AX17" s="6"/>
      <c r="AY17" s="6"/>
    </row>
    <row r="18" spans="3:51">
      <c r="C18" s="58"/>
      <c r="D18" s="58"/>
      <c r="E18" s="58"/>
      <c r="F18" s="58" t="s">
        <v>149</v>
      </c>
      <c r="G18" s="64">
        <f>SUM(G10:G17)</f>
        <v>3107</v>
      </c>
      <c r="H18" s="64">
        <f>SUM(H10:H17)</f>
        <v>3207</v>
      </c>
      <c r="I18" s="64">
        <f>SUM(I10:I17)</f>
        <v>100</v>
      </c>
      <c r="J18" s="62"/>
      <c r="K18" s="64">
        <f>SUM(K10:K17)</f>
        <v>2045756</v>
      </c>
      <c r="L18" s="64">
        <f t="shared" ref="L18:M18" si="8">SUM(L10:L17)</f>
        <v>2225064</v>
      </c>
      <c r="M18" s="64">
        <f t="shared" si="8"/>
        <v>179308</v>
      </c>
      <c r="AA18" s="103" t="s">
        <v>135</v>
      </c>
      <c r="AB18" s="103" t="s">
        <v>150</v>
      </c>
      <c r="AC18" t="s">
        <v>151</v>
      </c>
      <c r="AE18" s="1">
        <v>0</v>
      </c>
      <c r="AF18" s="1">
        <v>0</v>
      </c>
      <c r="AG18" s="6">
        <f t="shared" si="2"/>
        <v>0</v>
      </c>
      <c r="AH18" s="6">
        <f t="shared" si="2"/>
        <v>0</v>
      </c>
      <c r="AI18" t="str">
        <f t="shared" si="3"/>
        <v>0
(0%)</v>
      </c>
      <c r="AK18" s="1">
        <v>3756</v>
      </c>
      <c r="AL18" s="1">
        <v>9449</v>
      </c>
      <c r="AM18" s="6">
        <f t="shared" si="4"/>
        <v>1.8359960816441453E-3</v>
      </c>
      <c r="AN18" s="6">
        <f t="shared" si="5"/>
        <v>4.2466194230817633E-3</v>
      </c>
      <c r="AP18" s="6"/>
      <c r="AU18" s="30"/>
      <c r="AV18" s="30"/>
      <c r="AX18" s="6"/>
      <c r="AY18" s="6"/>
    </row>
    <row r="19" spans="3:51">
      <c r="C19" s="298" t="s">
        <v>152</v>
      </c>
      <c r="D19" s="298"/>
      <c r="E19" s="298"/>
      <c r="F19" s="298"/>
      <c r="G19" s="298"/>
      <c r="H19" s="298"/>
      <c r="I19" s="298"/>
      <c r="J19" s="298"/>
      <c r="K19" s="298"/>
      <c r="L19" s="298"/>
      <c r="M19" s="298"/>
      <c r="AA19" s="103" t="s">
        <v>138</v>
      </c>
      <c r="AB19" s="103" t="s">
        <v>153</v>
      </c>
      <c r="AC19" t="s">
        <v>154</v>
      </c>
      <c r="AE19" s="1">
        <v>189</v>
      </c>
      <c r="AF19" s="1">
        <v>317</v>
      </c>
      <c r="AG19" s="6">
        <f t="shared" si="2"/>
        <v>6.0830383006115221E-2</v>
      </c>
      <c r="AH19" s="6">
        <f t="shared" si="2"/>
        <v>9.8846273776114754E-2</v>
      </c>
      <c r="AI19" t="str">
        <f t="shared" si="3"/>
        <v>317
(10%)</v>
      </c>
      <c r="AK19" s="1">
        <v>99291</v>
      </c>
      <c r="AL19" s="1">
        <v>127070</v>
      </c>
      <c r="AM19" s="6">
        <f t="shared" si="4"/>
        <v>4.8535113669469866E-2</v>
      </c>
      <c r="AN19" s="6">
        <f t="shared" si="5"/>
        <v>5.7108469688961758E-2</v>
      </c>
      <c r="AP19" s="6"/>
      <c r="AU19" s="30"/>
      <c r="AV19" s="30"/>
      <c r="AX19" s="6"/>
      <c r="AY19" s="6"/>
    </row>
    <row r="20" spans="3:51" ht="14.25" customHeight="1">
      <c r="C20" s="289"/>
      <c r="D20" s="289"/>
      <c r="E20" s="289"/>
      <c r="F20" s="289"/>
      <c r="G20" s="289"/>
      <c r="H20" s="289"/>
      <c r="I20" s="289"/>
      <c r="J20" s="289"/>
      <c r="K20" s="289"/>
      <c r="L20" s="289"/>
      <c r="M20" s="289"/>
      <c r="AA20" s="103" t="s">
        <v>155</v>
      </c>
      <c r="AB20" s="103" t="s">
        <v>156</v>
      </c>
      <c r="AC20" t="s">
        <v>157</v>
      </c>
      <c r="AE20" s="1">
        <v>459</v>
      </c>
      <c r="AF20" s="1">
        <v>833</v>
      </c>
      <c r="AG20" s="6">
        <f t="shared" si="2"/>
        <v>0.14773093015770841</v>
      </c>
      <c r="AH20" s="6">
        <f t="shared" si="2"/>
        <v>0.25974430932335518</v>
      </c>
      <c r="AI20" t="str">
        <f t="shared" si="3"/>
        <v>833
(26%)</v>
      </c>
      <c r="AK20" s="1">
        <v>189808</v>
      </c>
      <c r="AL20" s="1">
        <v>218763</v>
      </c>
      <c r="AM20" s="6">
        <f t="shared" si="4"/>
        <v>9.2781348313288589E-2</v>
      </c>
      <c r="AN20" s="6">
        <f t="shared" si="5"/>
        <v>9.8317621425720786E-2</v>
      </c>
      <c r="AP20" s="6"/>
      <c r="AU20" s="30"/>
      <c r="AV20" s="30"/>
      <c r="AX20" s="6"/>
      <c r="AY20" s="6"/>
    </row>
    <row r="21" spans="3:51" ht="15" customHeight="1">
      <c r="C21" s="38"/>
      <c r="D21" s="38"/>
      <c r="E21" s="38"/>
      <c r="F21" s="38"/>
      <c r="G21" s="38"/>
      <c r="H21" s="38"/>
      <c r="I21" s="38"/>
      <c r="J21" s="38"/>
      <c r="K21" s="38"/>
      <c r="L21" s="38"/>
      <c r="M21" s="38"/>
      <c r="AA21" s="103" t="s">
        <v>158</v>
      </c>
      <c r="AB21" s="103" t="s">
        <v>159</v>
      </c>
      <c r="AC21" s="16" t="s">
        <v>160</v>
      </c>
      <c r="AE21" s="3">
        <v>3107</v>
      </c>
      <c r="AF21" s="3">
        <v>3207</v>
      </c>
      <c r="AK21" s="2">
        <v>2045756</v>
      </c>
      <c r="AL21" s="2">
        <v>2225064</v>
      </c>
    </row>
    <row r="22" spans="3:51" ht="14.25" customHeight="1">
      <c r="C22" s="38"/>
      <c r="D22" s="38"/>
      <c r="E22" s="38"/>
      <c r="F22" s="38"/>
      <c r="G22" s="38"/>
      <c r="H22" s="38"/>
      <c r="I22" s="38"/>
      <c r="J22" s="38"/>
      <c r="K22" s="38"/>
      <c r="L22" s="297" t="str">
        <f>"Based on a Coefficient of Variation of "&amp;TEXT(Inputs!C17, "0%")&amp;" alternative charts are:"</f>
        <v>Based on a Coefficient of Variation of 30% alternative charts are:</v>
      </c>
      <c r="M22" s="297"/>
      <c r="AE22" s="1"/>
      <c r="AF22" s="1"/>
      <c r="AG22" s="6"/>
      <c r="AH22" s="6"/>
      <c r="AK22" s="1"/>
      <c r="AL22" s="1"/>
      <c r="AM22" s="6"/>
      <c r="AN22" s="6"/>
    </row>
    <row r="23" spans="3:51" ht="15" customHeight="1">
      <c r="C23" s="38"/>
      <c r="D23" s="38"/>
      <c r="E23" s="38"/>
      <c r="F23" s="38"/>
      <c r="G23" s="38"/>
      <c r="H23" s="38"/>
      <c r="I23" s="38"/>
      <c r="J23" s="38"/>
      <c r="K23" s="38"/>
      <c r="L23" s="297"/>
      <c r="M23" s="297"/>
    </row>
    <row r="24" spans="3:51" ht="15">
      <c r="C24" s="42"/>
      <c r="D24" s="42"/>
      <c r="E24" s="42"/>
      <c r="F24" s="42"/>
      <c r="G24" s="42"/>
      <c r="H24" s="42"/>
      <c r="I24" s="42"/>
      <c r="J24" s="42"/>
      <c r="K24" s="42"/>
      <c r="L24" s="297"/>
      <c r="M24" s="297"/>
      <c r="AF24" s="39" t="str">
        <f>City_label</f>
        <v>Algona</v>
      </c>
      <c r="AH24" s="16" t="str">
        <f>City_label</f>
        <v>Algona</v>
      </c>
      <c r="AK24" s="288" t="str">
        <f>County_label</f>
        <v>King County</v>
      </c>
      <c r="AL24" s="288"/>
      <c r="AM24" s="288" t="str">
        <f>County_label</f>
        <v>King County</v>
      </c>
      <c r="AN24" s="288"/>
    </row>
    <row r="25" spans="3:51" ht="15">
      <c r="C25" s="42"/>
      <c r="D25" s="42"/>
      <c r="E25" s="42"/>
      <c r="F25" s="42"/>
      <c r="G25" s="42"/>
      <c r="H25" s="42"/>
      <c r="I25" s="42"/>
      <c r="J25" s="42"/>
      <c r="K25" s="42"/>
      <c r="L25" s="297"/>
      <c r="M25" s="297"/>
      <c r="AE25" s="16">
        <v>2015</v>
      </c>
      <c r="AF25" s="16">
        <v>2020</v>
      </c>
      <c r="AG25" s="16">
        <v>2015</v>
      </c>
      <c r="AH25" s="16">
        <v>2020</v>
      </c>
      <c r="AK25" s="16">
        <v>2015</v>
      </c>
      <c r="AL25" s="16">
        <v>2020</v>
      </c>
      <c r="AM25" s="16">
        <v>2015</v>
      </c>
      <c r="AN25" s="16">
        <v>2020</v>
      </c>
    </row>
    <row r="26" spans="3:51" ht="14.25" customHeight="1">
      <c r="C26" s="42"/>
      <c r="D26" s="42"/>
      <c r="E26" s="42"/>
      <c r="F26" s="42"/>
      <c r="G26" s="42"/>
      <c r="H26" s="42"/>
      <c r="I26" s="42"/>
      <c r="J26" s="42"/>
      <c r="K26" s="42"/>
      <c r="L26" s="297"/>
      <c r="M26" s="297"/>
      <c r="AC26" t="s">
        <v>145</v>
      </c>
      <c r="AE26" s="5">
        <f>AE16</f>
        <v>268</v>
      </c>
      <c r="AF26" s="5">
        <f>AF16</f>
        <v>542</v>
      </c>
      <c r="AG26" s="6">
        <f>AE26/$AE$31</f>
        <v>8.6256839394914714E-2</v>
      </c>
      <c r="AH26" s="6">
        <f>AF26/$AF$31</f>
        <v>0.1690053009042719</v>
      </c>
      <c r="AI26" t="str">
        <f>TEXT(AF26,"#,##0")&amp;CHAR(10)&amp;"("&amp;TEXT(AH26,"0%"&amp;")")</f>
        <v>542
(17%)</v>
      </c>
      <c r="AK26" s="5">
        <f>AK16</f>
        <v>317214</v>
      </c>
      <c r="AL26" s="5">
        <f>AL16</f>
        <v>405835</v>
      </c>
      <c r="AM26" s="6">
        <f>AK26/$AK$31</f>
        <v>0.15505954766844141</v>
      </c>
      <c r="AN26" s="6">
        <f>AL26/$AL$31</f>
        <v>0.18239250646273544</v>
      </c>
    </row>
    <row r="27" spans="3:51" ht="20.25" customHeight="1">
      <c r="C27" s="42"/>
      <c r="D27" s="42"/>
      <c r="E27" s="42"/>
      <c r="F27" s="42"/>
      <c r="G27" s="42"/>
      <c r="H27" s="42"/>
      <c r="I27" s="42"/>
      <c r="J27" s="42"/>
      <c r="K27" s="42"/>
      <c r="L27" s="296" t="str">
        <f>IF(SUM(AH50,AH65,AN50,AN65)&gt;0, "Recommended", "Optional")</f>
        <v>Recommended</v>
      </c>
      <c r="M27" s="296"/>
      <c r="AC27" t="s">
        <v>139</v>
      </c>
      <c r="AE27" s="5">
        <f>AE14</f>
        <v>82</v>
      </c>
      <c r="AF27" s="5">
        <f>AF14</f>
        <v>224</v>
      </c>
      <c r="AG27" s="6">
        <f>AE27/$AE$31</f>
        <v>2.6392018023817188E-2</v>
      </c>
      <c r="AH27" s="6">
        <f>AF27/$AF$31</f>
        <v>6.984720922980979E-2</v>
      </c>
      <c r="AI27" t="str">
        <f>TEXT(AF27,"#,##0")&amp;CHAR(10)&amp;"("&amp;TEXT(AH27,"0%"&amp;")")</f>
        <v>224
(7%)</v>
      </c>
      <c r="AK27" s="5">
        <f>AK14</f>
        <v>123350</v>
      </c>
      <c r="AL27" s="5">
        <f>AL14</f>
        <v>141566</v>
      </c>
      <c r="AM27" s="6">
        <f>AK27/$AK$31</f>
        <v>6.0295558219064245E-2</v>
      </c>
      <c r="AN27" s="6">
        <f>AL27/$AL$31</f>
        <v>6.3623338474758484E-2</v>
      </c>
    </row>
    <row r="28" spans="3:51">
      <c r="C28" s="42"/>
      <c r="D28" s="42"/>
      <c r="E28" s="42"/>
      <c r="F28" s="42"/>
      <c r="G28" s="42"/>
      <c r="H28" s="42"/>
      <c r="I28" s="42"/>
      <c r="J28" s="42"/>
      <c r="K28" s="42"/>
      <c r="AC28" t="s">
        <v>157</v>
      </c>
      <c r="AE28" s="5">
        <f>AE20</f>
        <v>459</v>
      </c>
      <c r="AF28" s="5">
        <f>AF20</f>
        <v>833</v>
      </c>
      <c r="AG28" s="6">
        <f>AE28/$AE$31</f>
        <v>0.14773093015770841</v>
      </c>
      <c r="AH28" s="6">
        <f>AF28/$AF$31</f>
        <v>0.25974430932335518</v>
      </c>
      <c r="AI28" t="str">
        <f>TEXT(AF28,"#,##0")&amp;CHAR(10)&amp;"("&amp;TEXT(AH28,"0%"&amp;")")</f>
        <v>833
(26%)</v>
      </c>
      <c r="AK28" s="5">
        <f>AK20</f>
        <v>189808</v>
      </c>
      <c r="AL28" s="5">
        <f>AL20</f>
        <v>218763</v>
      </c>
      <c r="AM28" s="6">
        <f>AK28/$AK$31</f>
        <v>9.2781348313288589E-2</v>
      </c>
      <c r="AN28" s="6">
        <f>AL28/$AL$31</f>
        <v>9.8317621425720786E-2</v>
      </c>
    </row>
    <row r="29" spans="3:51" ht="18" customHeight="1">
      <c r="C29" s="292" t="str">
        <f>"Chart 1. "&amp; City_label &amp; " population by race and Hispanic or Latino ethnicity, 2020"</f>
        <v>Chart 1. Algona population by race and Hispanic or Latino ethnicity, 2020</v>
      </c>
      <c r="D29" s="292"/>
      <c r="E29" s="292"/>
      <c r="F29" s="292"/>
      <c r="G29" s="292"/>
      <c r="H29" s="292"/>
      <c r="I29" s="292"/>
      <c r="J29" s="292"/>
      <c r="K29" s="292"/>
      <c r="L29" s="292"/>
      <c r="M29" s="292"/>
      <c r="AC29" t="s">
        <v>151</v>
      </c>
      <c r="AE29" s="5">
        <f>SUM(AE15,AE17,AE18,AE19)</f>
        <v>346</v>
      </c>
      <c r="AF29" s="5">
        <f>SUM(AF15,AF17,AF18,AF19)</f>
        <v>402</v>
      </c>
      <c r="AG29" s="6">
        <f>AE29/$AE$31</f>
        <v>0.11136144190537496</v>
      </c>
      <c r="AH29" s="6">
        <f>AF29/$AF$31</f>
        <v>0.12535079513564079</v>
      </c>
      <c r="AI29" t="str">
        <f>TEXT(AF29,"#,##0")&amp;CHAR(10)&amp;"("&amp;TEXT(AH29,"0%"&amp;")")</f>
        <v>402
(13%)</v>
      </c>
      <c r="AK29" s="5">
        <f>SUM(AK15,AK17,AK18,AK19)</f>
        <v>130700</v>
      </c>
      <c r="AL29" s="5">
        <f>SUM(AL15,AL17,AL18,AL19)</f>
        <v>163499</v>
      </c>
      <c r="AM29" s="6">
        <f>AK29/$AK$31</f>
        <v>6.3888362052952549E-2</v>
      </c>
      <c r="AN29" s="6">
        <f>AL29/$AL$31</f>
        <v>7.3480583030420696E-2</v>
      </c>
    </row>
    <row r="30" spans="3:51" ht="18" customHeight="1">
      <c r="C30" s="292"/>
      <c r="D30" s="292"/>
      <c r="E30" s="292"/>
      <c r="F30" s="292"/>
      <c r="G30" s="292"/>
      <c r="H30" s="292"/>
      <c r="I30" s="292"/>
      <c r="J30" s="292"/>
      <c r="K30" s="292"/>
      <c r="L30" s="292"/>
      <c r="M30" s="292"/>
      <c r="AC30" t="s">
        <v>136</v>
      </c>
      <c r="AE30" s="5">
        <f>AE13</f>
        <v>1952</v>
      </c>
      <c r="AF30" s="5">
        <f>AF13</f>
        <v>1206</v>
      </c>
      <c r="AG30" s="6">
        <f>AE30/$AE$31</f>
        <v>0.62825877051818479</v>
      </c>
      <c r="AH30" s="6">
        <f>AF30/$AF$31</f>
        <v>0.37605238540692237</v>
      </c>
      <c r="AI30" t="str">
        <f>TEXT(AF30,"#,##0")&amp;CHAR(10)&amp;"("&amp;TEXT(AH30,"0%"&amp;")")</f>
        <v>1,206
(38%)</v>
      </c>
      <c r="AK30" s="5">
        <f>AK13</f>
        <v>1284684</v>
      </c>
      <c r="AL30" s="5">
        <f>AL13</f>
        <v>1295401</v>
      </c>
      <c r="AM30" s="6">
        <f>AK30/$AK$31</f>
        <v>0.62797518374625327</v>
      </c>
      <c r="AN30" s="6">
        <f>AL30/$AL$31</f>
        <v>0.58218595060636458</v>
      </c>
    </row>
    <row r="31" spans="3:51" ht="15">
      <c r="AC31" t="s">
        <v>160</v>
      </c>
      <c r="AE31" s="29">
        <f>SUM(AE26:AE30)</f>
        <v>3107</v>
      </c>
      <c r="AF31" s="29">
        <f>SUM(AF26:AF30)</f>
        <v>3207</v>
      </c>
      <c r="AK31" s="29">
        <f>SUM(AK26:AK30)</f>
        <v>2045756</v>
      </c>
      <c r="AL31" s="29">
        <f>SUM(AL26:AL30)</f>
        <v>2225064</v>
      </c>
    </row>
    <row r="32" spans="3:51" ht="15">
      <c r="C32" s="16"/>
    </row>
    <row r="33" spans="27:40">
      <c r="AE33" s="5"/>
      <c r="AF33" s="5"/>
      <c r="AG33" s="6"/>
      <c r="AH33" s="6"/>
      <c r="AK33" s="5"/>
      <c r="AL33" s="5"/>
      <c r="AM33" s="6"/>
      <c r="AN33" s="6"/>
    </row>
    <row r="35" spans="27:40" ht="15">
      <c r="AF35" s="39" t="str">
        <f>City_label</f>
        <v>Algona</v>
      </c>
      <c r="AG35" s="288" t="str">
        <f>City_label</f>
        <v>Algona</v>
      </c>
      <c r="AH35" s="288"/>
      <c r="AL35" s="16" t="str">
        <f>County_label</f>
        <v>King County</v>
      </c>
      <c r="AM35" s="288" t="str">
        <f>County_label</f>
        <v>King County</v>
      </c>
      <c r="AN35" s="28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157</v>
      </c>
      <c r="AE37" s="5">
        <f>AE20</f>
        <v>459</v>
      </c>
      <c r="AF37" s="5">
        <f>AF20</f>
        <v>833</v>
      </c>
      <c r="AG37" s="6">
        <f>AG20</f>
        <v>0.14773093015770841</v>
      </c>
      <c r="AH37" s="6">
        <f>AH20</f>
        <v>0.25974430932335518</v>
      </c>
      <c r="AI37" t="str">
        <f>TEXT(AF37,"#,##0")&amp;CHAR(10)&amp;"("&amp;TEXT(AH37,"0%"&amp;")")</f>
        <v>833
(26%)</v>
      </c>
      <c r="AK37" s="5">
        <f>AK20</f>
        <v>189808</v>
      </c>
      <c r="AL37" s="5">
        <f>AL20</f>
        <v>218763</v>
      </c>
      <c r="AM37" s="6">
        <f>AM20</f>
        <v>9.2781348313288589E-2</v>
      </c>
      <c r="AN37" s="6">
        <f>AN20</f>
        <v>9.8317621425720786E-2</v>
      </c>
    </row>
    <row r="38" spans="27:40">
      <c r="AC38" t="s">
        <v>161</v>
      </c>
      <c r="AE38" s="5">
        <f>SUM(AE14:AE19)</f>
        <v>696</v>
      </c>
      <c r="AF38" s="5">
        <f>SUM(AF14:AF19)</f>
        <v>1168</v>
      </c>
      <c r="AG38" s="6">
        <f>SUM(AG14:AG19)</f>
        <v>0.22401029932410688</v>
      </c>
      <c r="AH38" s="6">
        <f>SUM(AH14:AH19)</f>
        <v>0.3642033052697225</v>
      </c>
      <c r="AI38" t="str">
        <f>TEXT(AF38,"#,##0")&amp;CHAR(10)&amp;"("&amp;TEXT(AH38,"0%"&amp;")")</f>
        <v>1,168
(36%)</v>
      </c>
      <c r="AK38" s="5">
        <f>SUM(AK14:AK19)</f>
        <v>571264</v>
      </c>
      <c r="AL38" s="5">
        <f>SUM(AL14:AL19)</f>
        <v>710900</v>
      </c>
      <c r="AM38" s="6">
        <f>SUM(AM14:AM19)</f>
        <v>0.27924346794045818</v>
      </c>
      <c r="AN38" s="6">
        <f>SUM(AN14:AN19)</f>
        <v>0.31949642796791461</v>
      </c>
    </row>
    <row r="39" spans="27:40">
      <c r="AC39" t="s">
        <v>136</v>
      </c>
      <c r="AE39" s="5">
        <f>AE13</f>
        <v>1952</v>
      </c>
      <c r="AF39" s="5">
        <f>AF13</f>
        <v>1206</v>
      </c>
      <c r="AG39" s="6">
        <f>AG13</f>
        <v>0.62825877051818479</v>
      </c>
      <c r="AH39" s="6">
        <f>AH13</f>
        <v>0.37605238540692237</v>
      </c>
      <c r="AI39" t="str">
        <f>TEXT(AF39,"#,##0")&amp;CHAR(10)&amp;"("&amp;TEXT(AH39,"0%"&amp;")")</f>
        <v>1,206
(38%)</v>
      </c>
      <c r="AK39" s="5">
        <f>AK13</f>
        <v>1284684</v>
      </c>
      <c r="AL39" s="5">
        <f>AL13</f>
        <v>1295401</v>
      </c>
      <c r="AM39" s="6">
        <f>AM13</f>
        <v>0.62797518374625327</v>
      </c>
      <c r="AN39" s="6">
        <f>AN13</f>
        <v>0.58218595060636458</v>
      </c>
    </row>
    <row r="40" spans="27:40" ht="14.25" customHeight="1">
      <c r="AD40" t="s">
        <v>160</v>
      </c>
      <c r="AE40" s="29">
        <f>SUM(AE37:AE38)</f>
        <v>1155</v>
      </c>
      <c r="AF40" s="29">
        <f>SUM(AF37:AF38)</f>
        <v>2001</v>
      </c>
      <c r="AG40" s="45">
        <f>SUM(AG37:AG38)</f>
        <v>0.37174122948181532</v>
      </c>
      <c r="AH40" s="45">
        <f>SUM(AH37:AH38)</f>
        <v>0.62394761459307768</v>
      </c>
      <c r="AK40" s="29">
        <f>SUM(AK37:AK38)</f>
        <v>761072</v>
      </c>
      <c r="AL40" s="29">
        <f>SUM(AL37:AL38)</f>
        <v>929663</v>
      </c>
      <c r="AM40" s="45">
        <f>SUM(AM37:AM38)</f>
        <v>0.37202481625374678</v>
      </c>
      <c r="AN40" s="45">
        <f>SUM(AN37:AN38)</f>
        <v>0.41781404939363542</v>
      </c>
    </row>
    <row r="44" spans="27:40">
      <c r="AF44" s="23"/>
      <c r="AG44" s="23"/>
    </row>
    <row r="45" spans="27:40">
      <c r="AF45" s="23"/>
      <c r="AG45" s="23"/>
    </row>
    <row r="46" spans="27:40">
      <c r="AF46" s="23"/>
      <c r="AG46" s="23"/>
    </row>
    <row r="47" spans="27:40" ht="17.25" thickBot="1">
      <c r="AA47" s="54" t="s">
        <v>162</v>
      </c>
      <c r="AB47" s="54"/>
      <c r="AC47" s="54"/>
      <c r="AD47" s="54"/>
      <c r="AE47" s="54"/>
      <c r="AF47" s="54"/>
      <c r="AG47" s="54"/>
      <c r="AH47" s="54"/>
      <c r="AI47" s="54"/>
      <c r="AJ47" s="54"/>
      <c r="AK47" s="54"/>
      <c r="AL47" s="54"/>
      <c r="AM47" s="54"/>
      <c r="AN47" s="54"/>
    </row>
    <row r="48" spans="27:40" ht="15" thickTop="1"/>
    <row r="49" spans="3:40" ht="15">
      <c r="AE49" s="28" t="str">
        <f>City_label</f>
        <v>Algona</v>
      </c>
      <c r="AF49" s="28" t="str">
        <f>City_label</f>
        <v>Algona</v>
      </c>
      <c r="AG49" s="28" t="str">
        <f>City_label</f>
        <v>Algona</v>
      </c>
      <c r="AH49" s="90" t="str">
        <f>IF(AH50&gt;=1, "Small Numbers", "")</f>
        <v>Small Numbers</v>
      </c>
      <c r="AK49" s="28" t="str">
        <f>City_label</f>
        <v>Algona</v>
      </c>
      <c r="AL49" s="28" t="str">
        <f>City_label</f>
        <v>Algona</v>
      </c>
      <c r="AM49" s="28" t="str">
        <f>City_label</f>
        <v>Algona</v>
      </c>
      <c r="AN49" t="str">
        <f>IF(AN50&gt;=1, "Small Numbers", "")</f>
        <v>Small Numbers</v>
      </c>
    </row>
    <row r="50" spans="3:40" ht="15">
      <c r="AE50" s="28">
        <v>2015</v>
      </c>
      <c r="AF50" s="28">
        <v>2015</v>
      </c>
      <c r="AG50" s="28">
        <v>2015</v>
      </c>
      <c r="AH50" s="151">
        <f>SUM(AH52:AH60)</f>
        <v>1</v>
      </c>
      <c r="AK50" s="28">
        <v>2020</v>
      </c>
      <c r="AL50" s="28">
        <v>2020</v>
      </c>
      <c r="AM50" s="28">
        <v>2020</v>
      </c>
      <c r="AN50" s="104">
        <f>SUM(AN52:AN60)</f>
        <v>1</v>
      </c>
    </row>
    <row r="51" spans="3:40" ht="15">
      <c r="AA51" s="28">
        <v>2015</v>
      </c>
      <c r="AB51" s="28">
        <v>2020</v>
      </c>
      <c r="AC51" s="16" t="s">
        <v>130</v>
      </c>
      <c r="AE51" s="28" t="s">
        <v>131</v>
      </c>
      <c r="AF51" s="28" t="s">
        <v>163</v>
      </c>
      <c r="AG51" s="28" t="s">
        <v>164</v>
      </c>
      <c r="AH51" s="28" t="s">
        <v>165</v>
      </c>
      <c r="AK51" s="28" t="s">
        <v>131</v>
      </c>
      <c r="AL51" s="28" t="s">
        <v>163</v>
      </c>
      <c r="AM51" s="28" t="s">
        <v>164</v>
      </c>
      <c r="AN51" s="28" t="s">
        <v>165</v>
      </c>
    </row>
    <row r="52" spans="3:40" ht="14.25" customHeight="1">
      <c r="C52" s="293" t="str">
        <f>"Source:  " &amp; Inputs!$J$48</f>
        <v>Source:  US Census Bureau, 2016-2020 American Community Survey 5-Year Estimates (Table DP05); Washington Department of Commerce, 2023</v>
      </c>
      <c r="D52" s="293"/>
      <c r="E52" s="293"/>
      <c r="F52" s="293"/>
      <c r="G52" s="293"/>
      <c r="H52" s="293"/>
      <c r="I52" s="293"/>
      <c r="J52" s="293"/>
      <c r="K52" s="293"/>
      <c r="L52" s="293"/>
      <c r="M52" s="293"/>
      <c r="AA52" s="103" t="s">
        <v>166</v>
      </c>
      <c r="AB52" s="103" t="s">
        <v>167</v>
      </c>
      <c r="AC52" t="s">
        <v>136</v>
      </c>
      <c r="AE52" s="1">
        <v>1952</v>
      </c>
      <c r="AF52" s="1">
        <v>239</v>
      </c>
      <c r="AG52" s="6">
        <f t="shared" ref="AG52:AG60" si="9">IFERROR(((AF52/1.645)/AE52), 0)</f>
        <v>7.4430714036573808E-2</v>
      </c>
      <c r="AH52" s="90">
        <f>IF(AG52&gt;MOE_Threshold, 1, 0)</f>
        <v>0</v>
      </c>
      <c r="AK52" s="1">
        <v>1206</v>
      </c>
      <c r="AL52" s="1">
        <v>251</v>
      </c>
      <c r="AM52" s="6">
        <f t="shared" ref="AM52:AM60" si="10">IFERROR(((AL52/1.645)/AK52), 0)</f>
        <v>0.12652038692051393</v>
      </c>
      <c r="AN52" s="90">
        <f>IF(AM52&gt;MOE_Threshold, 1, 0)</f>
        <v>0</v>
      </c>
    </row>
    <row r="53" spans="3:40">
      <c r="C53" s="293"/>
      <c r="D53" s="293"/>
      <c r="E53" s="293"/>
      <c r="F53" s="293"/>
      <c r="G53" s="293"/>
      <c r="H53" s="293"/>
      <c r="I53" s="293"/>
      <c r="J53" s="293"/>
      <c r="K53" s="293"/>
      <c r="L53" s="293"/>
      <c r="M53" s="293"/>
      <c r="AA53" s="103" t="s">
        <v>168</v>
      </c>
      <c r="AB53" s="103" t="s">
        <v>169</v>
      </c>
      <c r="AC53" t="s">
        <v>139</v>
      </c>
      <c r="AE53" s="1">
        <v>82</v>
      </c>
      <c r="AF53" s="1">
        <v>58</v>
      </c>
      <c r="AG53" s="6">
        <f t="shared" si="9"/>
        <v>0.4299799836904144</v>
      </c>
      <c r="AH53" s="90">
        <f>IF(AG53&gt;MOE_Threshold, 1, 0)</f>
        <v>1</v>
      </c>
      <c r="AK53" s="1">
        <v>224</v>
      </c>
      <c r="AL53" s="1">
        <v>160</v>
      </c>
      <c r="AM53" s="6">
        <f t="shared" si="10"/>
        <v>0.43421623968736428</v>
      </c>
      <c r="AN53" s="90">
        <f>IF(AM53&gt;MOE_Threshold, 1, 0)</f>
        <v>1</v>
      </c>
    </row>
    <row r="54" spans="3:40">
      <c r="C54" s="42"/>
      <c r="D54" s="42"/>
      <c r="E54" s="42"/>
      <c r="F54" s="42"/>
      <c r="G54" s="42"/>
      <c r="H54" s="42"/>
      <c r="I54" s="42"/>
      <c r="J54" s="42"/>
      <c r="K54" s="42"/>
      <c r="AA54" s="103" t="s">
        <v>170</v>
      </c>
      <c r="AB54" s="103" t="s">
        <v>171</v>
      </c>
      <c r="AC54" t="s">
        <v>142</v>
      </c>
      <c r="AE54" s="1">
        <v>28</v>
      </c>
      <c r="AF54" s="1">
        <v>22</v>
      </c>
      <c r="AG54" s="6">
        <f t="shared" si="9"/>
        <v>0.47763786365610078</v>
      </c>
      <c r="AH54" s="90"/>
      <c r="AK54" s="1">
        <v>34</v>
      </c>
      <c r="AL54" s="1">
        <v>36</v>
      </c>
      <c r="AM54" s="6">
        <f t="shared" si="10"/>
        <v>0.64366172000715172</v>
      </c>
      <c r="AN54" s="90"/>
    </row>
    <row r="55" spans="3:40">
      <c r="AA55" s="103" t="s">
        <v>172</v>
      </c>
      <c r="AB55" s="103" t="s">
        <v>173</v>
      </c>
      <c r="AC55" t="s">
        <v>145</v>
      </c>
      <c r="AE55" s="1">
        <v>268</v>
      </c>
      <c r="AF55" s="1">
        <v>121</v>
      </c>
      <c r="AG55" s="6">
        <f t="shared" si="9"/>
        <v>0.27446354851880417</v>
      </c>
      <c r="AH55" s="90">
        <f>IF(AG55&gt;MOE_Threshold, 1, 0)</f>
        <v>0</v>
      </c>
      <c r="AK55" s="1">
        <v>542</v>
      </c>
      <c r="AL55" s="1">
        <v>230</v>
      </c>
      <c r="AM55" s="6">
        <f t="shared" si="10"/>
        <v>0.25796610549692123</v>
      </c>
      <c r="AN55" s="90">
        <f>IF(AM55&gt;MOE_Threshold, 1, 0)</f>
        <v>0</v>
      </c>
    </row>
    <row r="56" spans="3:40" ht="18">
      <c r="C56" s="43" t="str">
        <f>"Chart 1a. "&amp; City_label &amp; " population by race and Hispanic ethnicity, 2020"</f>
        <v>Chart 1a. Algona population by race and Hispanic ethnicity, 2020</v>
      </c>
      <c r="AA56" s="103" t="s">
        <v>174</v>
      </c>
      <c r="AB56" s="103" t="s">
        <v>175</v>
      </c>
      <c r="AC56" t="s">
        <v>148</v>
      </c>
      <c r="AE56" s="1">
        <v>129</v>
      </c>
      <c r="AF56" s="1">
        <v>131</v>
      </c>
      <c r="AG56" s="6">
        <f t="shared" si="9"/>
        <v>0.61732758417567912</v>
      </c>
      <c r="AH56" s="90"/>
      <c r="AK56" s="1">
        <v>51</v>
      </c>
      <c r="AL56" s="1">
        <v>65</v>
      </c>
      <c r="AM56" s="6">
        <f t="shared" si="10"/>
        <v>0.77477799630490496</v>
      </c>
      <c r="AN56" s="90"/>
    </row>
    <row r="57" spans="3:40">
      <c r="AA57" s="103" t="s">
        <v>167</v>
      </c>
      <c r="AB57" s="103" t="s">
        <v>176</v>
      </c>
      <c r="AC57" t="s">
        <v>151</v>
      </c>
      <c r="AE57" s="1">
        <v>0</v>
      </c>
      <c r="AF57" s="1">
        <v>12</v>
      </c>
      <c r="AG57" s="6">
        <f t="shared" si="9"/>
        <v>0</v>
      </c>
      <c r="AH57" s="90"/>
      <c r="AK57" s="1">
        <v>0</v>
      </c>
      <c r="AL57" s="1">
        <v>13</v>
      </c>
      <c r="AM57" s="6">
        <f t="shared" si="10"/>
        <v>0</v>
      </c>
      <c r="AN57" s="90"/>
    </row>
    <row r="58" spans="3:40">
      <c r="AA58" s="103" t="s">
        <v>169</v>
      </c>
      <c r="AB58" s="103" t="s">
        <v>177</v>
      </c>
      <c r="AC58" t="s">
        <v>154</v>
      </c>
      <c r="AE58" s="1">
        <v>189</v>
      </c>
      <c r="AF58" s="1">
        <v>106</v>
      </c>
      <c r="AG58" s="6">
        <f t="shared" si="9"/>
        <v>0.3409401585693379</v>
      </c>
      <c r="AH58" s="90"/>
      <c r="AK58" s="1">
        <v>317</v>
      </c>
      <c r="AL58" s="1">
        <v>183</v>
      </c>
      <c r="AM58" s="6">
        <f t="shared" si="10"/>
        <v>0.35093438677571842</v>
      </c>
      <c r="AN58" s="90"/>
    </row>
    <row r="59" spans="3:40">
      <c r="AA59" s="103" t="s">
        <v>178</v>
      </c>
      <c r="AB59" s="103" t="s">
        <v>179</v>
      </c>
      <c r="AC59" t="s">
        <v>157</v>
      </c>
      <c r="AE59" s="1">
        <v>459</v>
      </c>
      <c r="AF59" s="1">
        <v>200</v>
      </c>
      <c r="AG59" s="6">
        <f t="shared" si="9"/>
        <v>0.26488136625808717</v>
      </c>
      <c r="AH59" s="90">
        <f>IF(AG59&gt;MOE_Threshold, 1, 0)</f>
        <v>0</v>
      </c>
      <c r="AK59" s="1">
        <v>833</v>
      </c>
      <c r="AL59" s="1">
        <v>383</v>
      </c>
      <c r="AM59" s="6">
        <f t="shared" si="10"/>
        <v>0.27950389882396731</v>
      </c>
      <c r="AN59" s="90">
        <f>IF(AM59&gt;MOE_Threshold, 1, 0)</f>
        <v>0</v>
      </c>
    </row>
    <row r="60" spans="3:40" ht="15">
      <c r="AA60" s="103" t="s">
        <v>180</v>
      </c>
      <c r="AB60" s="103" t="s">
        <v>181</v>
      </c>
      <c r="AC60" s="16" t="s">
        <v>160</v>
      </c>
      <c r="AE60" s="2">
        <v>3107</v>
      </c>
      <c r="AF60" s="2">
        <v>31</v>
      </c>
      <c r="AG60" s="6">
        <f t="shared" si="9"/>
        <v>6.0653314459065376E-3</v>
      </c>
      <c r="AH60" s="90">
        <f>IF(AG60&gt;MOE_Threshold, 1, 0)</f>
        <v>0</v>
      </c>
      <c r="AK60" s="2">
        <v>3207</v>
      </c>
      <c r="AL60" s="2">
        <v>21</v>
      </c>
      <c r="AM60" s="6">
        <f t="shared" si="10"/>
        <v>3.9806540214557254E-3</v>
      </c>
      <c r="AN60" s="90">
        <f>IF(AM60&gt;MOE_Threshold, 1, 0)</f>
        <v>0</v>
      </c>
    </row>
    <row r="61" spans="3:40">
      <c r="AE61" s="1"/>
      <c r="AF61" s="1"/>
      <c r="AK61" s="1"/>
      <c r="AL61" s="1"/>
      <c r="AN61" s="90"/>
    </row>
    <row r="62" spans="3:40">
      <c r="AN62" s="90"/>
    </row>
    <row r="63" spans="3:40">
      <c r="AN63" s="90"/>
    </row>
    <row r="64" spans="3:40" ht="15">
      <c r="AF64" s="28" t="str">
        <f>County_label</f>
        <v>King County</v>
      </c>
      <c r="AG64" s="28" t="str">
        <f>County_label</f>
        <v>King County</v>
      </c>
      <c r="AH64" t="str">
        <f>IF(AH65&gt;=1, "Small Numbers", "")</f>
        <v/>
      </c>
      <c r="AK64" s="28" t="str">
        <f>County_label</f>
        <v>King County</v>
      </c>
      <c r="AL64" s="28" t="str">
        <f>County_label</f>
        <v>King County</v>
      </c>
      <c r="AM64" s="28" t="str">
        <f>County_label</f>
        <v>King County</v>
      </c>
      <c r="AN64" s="90" t="str">
        <f>IF(AN65&gt;=1, "Small Numbers", "")</f>
        <v/>
      </c>
    </row>
    <row r="65" spans="3:40" ht="15">
      <c r="AE65" s="28">
        <v>2015</v>
      </c>
      <c r="AF65" s="28">
        <v>2015</v>
      </c>
      <c r="AG65" s="28">
        <v>2015</v>
      </c>
      <c r="AH65" s="151">
        <f>SUM(AH67:AH75)</f>
        <v>0</v>
      </c>
      <c r="AK65" s="28">
        <v>2020</v>
      </c>
      <c r="AL65" s="28">
        <v>2020</v>
      </c>
      <c r="AM65" s="28">
        <v>2020</v>
      </c>
      <c r="AN65" s="151">
        <f>SUM(AN67:AN75)</f>
        <v>0</v>
      </c>
    </row>
    <row r="66" spans="3:40" ht="15">
      <c r="AA66" s="28">
        <v>2015</v>
      </c>
      <c r="AB66" s="28">
        <v>2020</v>
      </c>
      <c r="AC66" s="16" t="s">
        <v>130</v>
      </c>
      <c r="AE66" s="28" t="s">
        <v>131</v>
      </c>
      <c r="AF66" s="28" t="s">
        <v>163</v>
      </c>
      <c r="AG66" s="28" t="s">
        <v>164</v>
      </c>
      <c r="AH66" s="28" t="s">
        <v>165</v>
      </c>
      <c r="AK66" s="28" t="s">
        <v>131</v>
      </c>
      <c r="AL66" s="28" t="s">
        <v>163</v>
      </c>
      <c r="AM66" s="28" t="s">
        <v>164</v>
      </c>
      <c r="AN66" s="28" t="s">
        <v>165</v>
      </c>
    </row>
    <row r="67" spans="3:40">
      <c r="AA67" s="103" t="s">
        <v>166</v>
      </c>
      <c r="AB67" s="103" t="s">
        <v>167</v>
      </c>
      <c r="AC67" t="s">
        <v>136</v>
      </c>
      <c r="AE67" s="1">
        <v>1284684</v>
      </c>
      <c r="AF67" s="1">
        <v>543</v>
      </c>
      <c r="AG67" s="6">
        <f t="shared" ref="AG67:AG75" si="11">IFERROR(((AF67/1.645)/AE67), 0)</f>
        <v>2.5694348603262309E-4</v>
      </c>
      <c r="AH67" s="90">
        <f>IF(AG67&gt;MOE_Threshold, 1, 0)</f>
        <v>0</v>
      </c>
      <c r="AK67" s="1">
        <v>1295401</v>
      </c>
      <c r="AL67" s="1">
        <v>1744</v>
      </c>
      <c r="AM67" s="6">
        <f t="shared" ref="AM67:AM75" si="12">IFERROR(((AL67/1.645)/AK67), 0)</f>
        <v>8.1842021954643283E-4</v>
      </c>
      <c r="AN67" s="90">
        <f>IF(AM67&gt;MOE_Threshold, 1, 0)</f>
        <v>0</v>
      </c>
    </row>
    <row r="68" spans="3:40">
      <c r="AA68" s="103" t="s">
        <v>168</v>
      </c>
      <c r="AB68" s="103" t="s">
        <v>169</v>
      </c>
      <c r="AC68" t="s">
        <v>139</v>
      </c>
      <c r="AE68" s="1">
        <v>123350</v>
      </c>
      <c r="AF68" s="1">
        <v>1626</v>
      </c>
      <c r="AG68" s="6">
        <f t="shared" si="11"/>
        <v>8.0133753386649048E-3</v>
      </c>
      <c r="AH68" s="90">
        <f>IF(AG68&gt;MOE_Threshold, 1, 0)</f>
        <v>0</v>
      </c>
      <c r="AK68" s="1">
        <v>141566</v>
      </c>
      <c r="AL68" s="1">
        <v>2237</v>
      </c>
      <c r="AM68" s="6">
        <f t="shared" si="12"/>
        <v>9.6059676719896549E-3</v>
      </c>
      <c r="AN68" s="90">
        <f>IF(AM68&gt;MOE_Threshold, 1, 0)</f>
        <v>0</v>
      </c>
    </row>
    <row r="69" spans="3:40">
      <c r="AA69" s="103" t="s">
        <v>170</v>
      </c>
      <c r="AB69" s="103" t="s">
        <v>171</v>
      </c>
      <c r="AC69" t="s">
        <v>142</v>
      </c>
      <c r="AE69" s="1">
        <v>11972</v>
      </c>
      <c r="AF69" s="1">
        <v>883</v>
      </c>
      <c r="AG69" s="6">
        <f t="shared" si="11"/>
        <v>4.483612725538922E-2</v>
      </c>
      <c r="AH69" s="90"/>
      <c r="AK69" s="1">
        <v>10307</v>
      </c>
      <c r="AL69" s="1">
        <v>718</v>
      </c>
      <c r="AM69" s="6">
        <f t="shared" si="12"/>
        <v>4.2347352685916231E-2</v>
      </c>
      <c r="AN69" s="90"/>
    </row>
    <row r="70" spans="3:40">
      <c r="AA70" s="103" t="s">
        <v>172</v>
      </c>
      <c r="AB70" s="103" t="s">
        <v>173</v>
      </c>
      <c r="AC70" t="s">
        <v>145</v>
      </c>
      <c r="AE70" s="1">
        <v>317214</v>
      </c>
      <c r="AF70" s="1">
        <v>2236</v>
      </c>
      <c r="AG70" s="6">
        <f t="shared" si="11"/>
        <v>4.2850268800157781E-3</v>
      </c>
      <c r="AH70" s="90">
        <f>IF(AG70&gt;MOE_Threshold, 1, 0)</f>
        <v>0</v>
      </c>
      <c r="AK70" s="1">
        <v>405835</v>
      </c>
      <c r="AL70" s="1">
        <v>2728</v>
      </c>
      <c r="AM70" s="6">
        <f t="shared" si="12"/>
        <v>4.0862879313365817E-3</v>
      </c>
      <c r="AN70" s="90">
        <f>IF(AM70&gt;MOE_Threshold, 1, 0)</f>
        <v>0</v>
      </c>
    </row>
    <row r="71" spans="3:40">
      <c r="C71" s="289" t="str">
        <f>"Source:  " &amp; Inputs!$J$48</f>
        <v>Source:  US Census Bureau, 2016-2020 American Community Survey 5-Year Estimates (Table DP05); Washington Department of Commerce, 2023</v>
      </c>
      <c r="D71" s="289"/>
      <c r="E71" s="289"/>
      <c r="F71" s="289"/>
      <c r="G71" s="289"/>
      <c r="H71" s="289"/>
      <c r="I71" s="289"/>
      <c r="J71" s="289"/>
      <c r="K71" s="289"/>
      <c r="AA71" s="103" t="s">
        <v>174</v>
      </c>
      <c r="AB71" s="103" t="s">
        <v>175</v>
      </c>
      <c r="AC71" t="s">
        <v>148</v>
      </c>
      <c r="AE71" s="1">
        <v>15681</v>
      </c>
      <c r="AF71" s="1">
        <v>532</v>
      </c>
      <c r="AG71" s="6">
        <f t="shared" si="11"/>
        <v>2.0623956081828258E-2</v>
      </c>
      <c r="AH71" s="90"/>
      <c r="AK71" s="1">
        <v>16673</v>
      </c>
      <c r="AL71" s="1">
        <v>624</v>
      </c>
      <c r="AM71" s="6">
        <f t="shared" si="12"/>
        <v>2.2751232950931531E-2</v>
      </c>
      <c r="AN71" s="90"/>
    </row>
    <row r="72" spans="3:40">
      <c r="C72" s="289"/>
      <c r="D72" s="289"/>
      <c r="E72" s="289"/>
      <c r="F72" s="289"/>
      <c r="G72" s="289"/>
      <c r="H72" s="289"/>
      <c r="I72" s="289"/>
      <c r="J72" s="289"/>
      <c r="K72" s="289"/>
      <c r="AA72" s="103" t="s">
        <v>167</v>
      </c>
      <c r="AB72" s="103" t="s">
        <v>176</v>
      </c>
      <c r="AC72" t="s">
        <v>151</v>
      </c>
      <c r="AE72" s="1">
        <v>3756</v>
      </c>
      <c r="AF72" s="1">
        <v>659</v>
      </c>
      <c r="AG72" s="6">
        <f t="shared" si="11"/>
        <v>0.10665812106910605</v>
      </c>
      <c r="AH72" s="90"/>
      <c r="AK72" s="1">
        <v>9449</v>
      </c>
      <c r="AL72" s="1">
        <v>1754</v>
      </c>
      <c r="AM72" s="6">
        <f t="shared" si="12"/>
        <v>0.11284383513348416</v>
      </c>
      <c r="AN72" s="90"/>
    </row>
    <row r="73" spans="3:40">
      <c r="AA73" s="103" t="s">
        <v>169</v>
      </c>
      <c r="AB73" s="103" t="s">
        <v>177</v>
      </c>
      <c r="AC73" t="s">
        <v>154</v>
      </c>
      <c r="AE73" s="1">
        <v>99291</v>
      </c>
      <c r="AF73" s="1">
        <v>2853</v>
      </c>
      <c r="AG73" s="6">
        <f t="shared" si="11"/>
        <v>1.7467308261164358E-2</v>
      </c>
      <c r="AH73" s="90"/>
      <c r="AK73" s="1">
        <v>127070</v>
      </c>
      <c r="AL73" s="1">
        <v>4002</v>
      </c>
      <c r="AM73" s="6">
        <f t="shared" si="12"/>
        <v>1.9145563451014126E-2</v>
      </c>
      <c r="AN73" s="90"/>
    </row>
    <row r="74" spans="3:40" ht="18" customHeight="1">
      <c r="C74" s="292" t="str">
        <f>"Table 2. Racial composition percentage of "&amp; City_label &amp; " and " &amp; County_label&amp; " 2015 and 2020"</f>
        <v>Table 2. Racial composition percentage of Algona and King County 2015 and 2020</v>
      </c>
      <c r="D74" s="292"/>
      <c r="E74" s="292"/>
      <c r="F74" s="292"/>
      <c r="G74" s="292"/>
      <c r="H74" s="292"/>
      <c r="I74" s="292"/>
      <c r="J74" s="292"/>
      <c r="K74" s="292"/>
      <c r="L74" s="292"/>
      <c r="M74" s="292"/>
      <c r="AA74" s="103" t="s">
        <v>178</v>
      </c>
      <c r="AB74" s="103" t="s">
        <v>179</v>
      </c>
      <c r="AC74" t="s">
        <v>157</v>
      </c>
      <c r="AE74" s="1">
        <v>189808</v>
      </c>
      <c r="AF74" s="1" t="s">
        <v>715</v>
      </c>
      <c r="AG74" s="6">
        <f t="shared" si="11"/>
        <v>0</v>
      </c>
      <c r="AH74" s="90">
        <f>IF(AG74&gt;MOE_Threshold, 1, 0)</f>
        <v>0</v>
      </c>
      <c r="AK74" s="1">
        <v>218763</v>
      </c>
      <c r="AL74" s="1" t="s">
        <v>715</v>
      </c>
      <c r="AM74" s="6">
        <f t="shared" si="12"/>
        <v>0</v>
      </c>
      <c r="AN74" s="90">
        <f>IF(AM74&gt;MOE_Threshold, 1, 0)</f>
        <v>0</v>
      </c>
    </row>
    <row r="75" spans="3:40" ht="18" customHeight="1">
      <c r="C75" s="292"/>
      <c r="D75" s="292"/>
      <c r="E75" s="292"/>
      <c r="F75" s="292"/>
      <c r="G75" s="292"/>
      <c r="H75" s="292"/>
      <c r="I75" s="292"/>
      <c r="J75" s="292"/>
      <c r="K75" s="292"/>
      <c r="L75" s="292"/>
      <c r="M75" s="292"/>
      <c r="AA75" s="103" t="s">
        <v>180</v>
      </c>
      <c r="AB75" s="103" t="s">
        <v>181</v>
      </c>
      <c r="AC75" s="16" t="s">
        <v>160</v>
      </c>
      <c r="AE75" s="2">
        <v>2045756</v>
      </c>
      <c r="AF75" s="1" t="s">
        <v>715</v>
      </c>
      <c r="AG75" s="6">
        <f t="shared" si="11"/>
        <v>0</v>
      </c>
      <c r="AH75" s="90">
        <f>IF(AG75&gt;MOE_Threshold, 1, 0)</f>
        <v>0</v>
      </c>
      <c r="AK75" s="2">
        <v>2225064</v>
      </c>
      <c r="AL75" s="1" t="s">
        <v>715</v>
      </c>
      <c r="AM75" s="6">
        <f t="shared" si="12"/>
        <v>0</v>
      </c>
      <c r="AN75" s="152">
        <f>IF(AM75&gt;MOE_Threshold, 1, 0)</f>
        <v>0</v>
      </c>
    </row>
    <row r="76" spans="3:40" ht="18" customHeight="1" thickBot="1">
      <c r="AE76" s="1"/>
      <c r="AF76" s="1"/>
      <c r="AK76" s="1"/>
      <c r="AL76" s="1"/>
    </row>
    <row r="77" spans="3:40">
      <c r="C77" s="56"/>
      <c r="D77" s="56"/>
      <c r="E77" s="56"/>
      <c r="F77" s="294" t="str">
        <f>City_label</f>
        <v>Algona</v>
      </c>
      <c r="G77" s="294"/>
      <c r="H77" s="294" t="str">
        <f>County_label</f>
        <v>King County</v>
      </c>
      <c r="I77" s="294"/>
      <c r="J77" s="92"/>
    </row>
    <row r="78" spans="3:40">
      <c r="C78" s="58" t="s">
        <v>128</v>
      </c>
      <c r="D78" s="58"/>
      <c r="E78" s="58"/>
      <c r="F78" s="59">
        <v>2015</v>
      </c>
      <c r="G78" s="59">
        <v>2020</v>
      </c>
      <c r="H78" s="59">
        <v>2015</v>
      </c>
      <c r="I78" s="59">
        <v>2020</v>
      </c>
      <c r="J78" s="59"/>
    </row>
    <row r="79" spans="3:40">
      <c r="C79" s="21" t="s">
        <v>145</v>
      </c>
      <c r="D79" s="21"/>
      <c r="E79" s="21"/>
      <c r="F79" s="170">
        <f t="shared" ref="F79:G83" si="13">AG26</f>
        <v>8.6256839394914714E-2</v>
      </c>
      <c r="G79" s="170">
        <f t="shared" si="13"/>
        <v>0.1690053009042719</v>
      </c>
      <c r="H79" s="170">
        <f t="shared" ref="H79:I83" si="14">AM26</f>
        <v>0.15505954766844141</v>
      </c>
      <c r="I79" s="170">
        <f t="shared" si="14"/>
        <v>0.18239250646273544</v>
      </c>
    </row>
    <row r="80" spans="3:40">
      <c r="C80" s="21" t="s">
        <v>139</v>
      </c>
      <c r="D80" s="21"/>
      <c r="E80" s="21"/>
      <c r="F80" s="93">
        <f t="shared" si="13"/>
        <v>2.6392018023817188E-2</v>
      </c>
      <c r="G80" s="93">
        <f t="shared" si="13"/>
        <v>6.984720922980979E-2</v>
      </c>
      <c r="H80" s="93">
        <f t="shared" si="14"/>
        <v>6.0295558219064245E-2</v>
      </c>
      <c r="I80" s="93">
        <f t="shared" si="14"/>
        <v>6.3623338474758484E-2</v>
      </c>
    </row>
    <row r="81" spans="3:10">
      <c r="C81" s="21" t="s">
        <v>157</v>
      </c>
      <c r="D81" s="21"/>
      <c r="E81" s="21"/>
      <c r="F81" s="170">
        <f t="shared" si="13"/>
        <v>0.14773093015770841</v>
      </c>
      <c r="G81" s="170">
        <f t="shared" si="13"/>
        <v>0.25974430932335518</v>
      </c>
      <c r="H81" s="170">
        <f t="shared" si="14"/>
        <v>9.2781348313288589E-2</v>
      </c>
      <c r="I81" s="170">
        <f t="shared" si="14"/>
        <v>9.8317621425720786E-2</v>
      </c>
    </row>
    <row r="82" spans="3:10">
      <c r="C82" s="21" t="s">
        <v>151</v>
      </c>
      <c r="D82" s="21"/>
      <c r="E82" s="21"/>
      <c r="F82" s="93">
        <f t="shared" si="13"/>
        <v>0.11136144190537496</v>
      </c>
      <c r="G82" s="93">
        <f t="shared" si="13"/>
        <v>0.12535079513564079</v>
      </c>
      <c r="H82" s="93">
        <f t="shared" si="14"/>
        <v>6.3888362052952549E-2</v>
      </c>
      <c r="I82" s="93">
        <f t="shared" si="14"/>
        <v>7.3480583030420696E-2</v>
      </c>
    </row>
    <row r="83" spans="3:10" ht="13.9" customHeight="1">
      <c r="C83" s="21" t="s">
        <v>136</v>
      </c>
      <c r="D83" s="21"/>
      <c r="E83" s="21"/>
      <c r="F83" s="170">
        <f t="shared" si="13"/>
        <v>0.62825877051818479</v>
      </c>
      <c r="G83" s="170">
        <f t="shared" si="13"/>
        <v>0.37605238540692237</v>
      </c>
      <c r="H83" s="170">
        <f t="shared" si="14"/>
        <v>0.62797518374625327</v>
      </c>
      <c r="I83" s="170">
        <f t="shared" si="14"/>
        <v>0.58218595060636458</v>
      </c>
      <c r="J83" s="27"/>
    </row>
    <row r="84" spans="3:10">
      <c r="C84" s="290" t="s">
        <v>182</v>
      </c>
      <c r="D84" s="290"/>
      <c r="E84" s="290"/>
      <c r="F84" s="290"/>
      <c r="G84" s="290"/>
      <c r="H84" s="290"/>
      <c r="I84" s="290"/>
      <c r="J84" s="290"/>
    </row>
    <row r="85" spans="3:10">
      <c r="C85" s="291"/>
      <c r="D85" s="291"/>
      <c r="E85" s="291"/>
      <c r="F85" s="291"/>
      <c r="G85" s="291"/>
      <c r="H85" s="291"/>
      <c r="I85" s="291"/>
      <c r="J85" s="291"/>
    </row>
    <row r="87" spans="3:10" ht="18">
      <c r="C87" s="43" t="str">
        <f>"Chart 2. Racial composition of "&amp; City_label &amp; " and " &amp; County_label &amp;", 2020"</f>
        <v>Chart 2. Racial composition of Algona and King County, 2020</v>
      </c>
    </row>
    <row r="104" spans="3:55">
      <c r="AX104" s="23"/>
      <c r="AY104" s="23"/>
      <c r="AZ104" s="23"/>
      <c r="BA104" s="23"/>
      <c r="BB104" s="23"/>
      <c r="BC104" s="23"/>
    </row>
    <row r="105" spans="3:55">
      <c r="AW105" s="23"/>
    </row>
    <row r="109" spans="3:55">
      <c r="C109" s="38"/>
      <c r="D109" s="38"/>
      <c r="E109" s="38"/>
      <c r="F109" s="38"/>
      <c r="G109" s="38"/>
      <c r="H109" s="38"/>
      <c r="I109" s="38"/>
      <c r="J109" s="38"/>
      <c r="K109" s="38"/>
    </row>
    <row r="110" spans="3:55">
      <c r="C110" s="289" t="s">
        <v>182</v>
      </c>
      <c r="D110" s="289"/>
      <c r="E110" s="289"/>
      <c r="F110" s="289"/>
      <c r="G110" s="289"/>
      <c r="H110" s="289"/>
      <c r="I110" s="289"/>
      <c r="J110" s="289"/>
      <c r="K110" s="289"/>
    </row>
    <row r="111" spans="3:55">
      <c r="C111" s="289"/>
      <c r="D111" s="289"/>
      <c r="E111" s="289"/>
      <c r="F111" s="289"/>
      <c r="G111" s="289"/>
      <c r="H111" s="289"/>
      <c r="I111" s="289"/>
      <c r="J111" s="289"/>
      <c r="K111" s="289"/>
      <c r="AY111" s="23"/>
      <c r="AZ111" s="23"/>
      <c r="BA111" s="23"/>
    </row>
    <row r="112" spans="3:55">
      <c r="AY112" s="23"/>
      <c r="AZ112" s="23"/>
      <c r="BA112" s="23"/>
    </row>
    <row r="113" spans="3:55" ht="18">
      <c r="C113" s="43" t="str">
        <f>"Chart 2a. Racial composition of "&amp; City_label &amp; " and " &amp; County_label &amp;", 2020"</f>
        <v>Chart 2a. Racial composition of Algona and King County, 2020</v>
      </c>
      <c r="AY113" s="23"/>
      <c r="AZ113" s="23"/>
      <c r="BA113" s="23"/>
    </row>
    <row r="114" spans="3:55">
      <c r="AY114" s="23"/>
      <c r="AZ114" s="23"/>
      <c r="BA114" s="23"/>
    </row>
    <row r="115" spans="3:55" ht="15">
      <c r="AY115" s="24"/>
      <c r="AZ115" s="23"/>
      <c r="BA115" s="23"/>
    </row>
    <row r="116" spans="3:55">
      <c r="AY116" s="23"/>
      <c r="AZ116" s="23"/>
      <c r="BA116" s="23"/>
    </row>
    <row r="117" spans="3:55">
      <c r="AY117" s="23"/>
      <c r="AZ117" s="23"/>
      <c r="BA117" s="23"/>
    </row>
    <row r="118" spans="3:55">
      <c r="AY118" s="23"/>
      <c r="AZ118" s="23"/>
      <c r="BA118" s="23"/>
    </row>
    <row r="119" spans="3:55">
      <c r="AX119" s="23"/>
      <c r="AY119" s="23"/>
      <c r="AZ119" s="23"/>
      <c r="BA119" s="23"/>
      <c r="BB119" s="23"/>
      <c r="BC119" s="23"/>
    </row>
    <row r="120" spans="3:55">
      <c r="AW120" s="23"/>
      <c r="AX120" s="23"/>
      <c r="AY120" s="23"/>
      <c r="AZ120" s="23"/>
      <c r="BA120" s="23"/>
      <c r="BB120" s="23"/>
      <c r="BC120" s="23"/>
    </row>
    <row r="121" spans="3:55">
      <c r="AW121" s="23"/>
      <c r="AX121" s="23"/>
      <c r="AY121" s="23"/>
      <c r="AZ121" s="23"/>
      <c r="BA121" s="23"/>
      <c r="BB121" s="23"/>
      <c r="BC121" s="23"/>
    </row>
    <row r="122" spans="3:55">
      <c r="AW122" s="23"/>
      <c r="AX122" s="23"/>
      <c r="AY122" s="23"/>
      <c r="AZ122" s="23"/>
      <c r="BA122" s="23"/>
      <c r="BB122" s="23"/>
      <c r="BC122" s="23"/>
    </row>
    <row r="123" spans="3:55">
      <c r="AW123" s="23"/>
      <c r="AX123" s="23"/>
      <c r="AY123" s="23"/>
      <c r="AZ123" s="23"/>
      <c r="BA123" s="23"/>
      <c r="BB123" s="23"/>
      <c r="BC123" s="23"/>
    </row>
    <row r="124" spans="3:55">
      <c r="AW124" s="23"/>
      <c r="AX124" s="23"/>
      <c r="AY124" s="23"/>
      <c r="AZ124" s="23"/>
      <c r="BA124" s="23"/>
      <c r="BB124" s="23"/>
      <c r="BC124" s="23"/>
    </row>
    <row r="125" spans="3:55">
      <c r="AW125" s="23"/>
      <c r="AX125" s="23"/>
      <c r="AY125" s="23"/>
      <c r="AZ125" s="23"/>
      <c r="BA125" s="23"/>
      <c r="BB125" s="23"/>
      <c r="BC125" s="23"/>
    </row>
    <row r="135" spans="3:12">
      <c r="C135" s="289" t="s">
        <v>182</v>
      </c>
      <c r="D135" s="289"/>
      <c r="E135" s="289"/>
      <c r="F135" s="289"/>
      <c r="G135" s="289"/>
      <c r="H135" s="289"/>
      <c r="I135" s="289"/>
      <c r="J135" s="289"/>
      <c r="K135" s="289"/>
    </row>
    <row r="136" spans="3:12">
      <c r="C136" s="289"/>
      <c r="D136" s="289"/>
      <c r="E136" s="289"/>
      <c r="F136" s="289"/>
      <c r="G136" s="289"/>
      <c r="H136" s="289"/>
      <c r="I136" s="289"/>
      <c r="J136" s="289"/>
      <c r="K136" s="289"/>
    </row>
    <row r="138" spans="3:12">
      <c r="C138" s="292" t="str">
        <f>"Chart 3. Racial composition of "&amp; City_label &amp; " and " &amp; County_label &amp;", 2015 and 2020"</f>
        <v>Chart 3. Racial composition of Algona and King County, 2015 and 2020</v>
      </c>
      <c r="D138" s="292"/>
      <c r="E138" s="292"/>
      <c r="F138" s="292"/>
      <c r="G138" s="292"/>
      <c r="H138" s="292"/>
      <c r="I138" s="292"/>
      <c r="J138" s="292"/>
      <c r="K138" s="292"/>
      <c r="L138" s="292"/>
    </row>
    <row r="139" spans="3:12" ht="19.5" customHeight="1">
      <c r="C139" s="292"/>
      <c r="D139" s="292"/>
      <c r="E139" s="292"/>
      <c r="F139" s="292"/>
      <c r="G139" s="292"/>
      <c r="H139" s="292"/>
      <c r="I139" s="292"/>
      <c r="J139" s="292"/>
      <c r="K139" s="292"/>
      <c r="L139" s="292"/>
    </row>
    <row r="140" spans="3:12" ht="19.5" customHeight="1"/>
    <row r="141" spans="3:12" ht="18" customHeight="1"/>
    <row r="146" spans="3:11" ht="15">
      <c r="C146" s="16"/>
    </row>
    <row r="160" spans="3:11">
      <c r="D160" s="42"/>
      <c r="E160" s="42"/>
      <c r="F160" s="42"/>
      <c r="G160" s="42"/>
      <c r="H160" s="42"/>
      <c r="I160" s="42"/>
      <c r="J160" s="42"/>
      <c r="K160" s="42"/>
    </row>
    <row r="161" spans="3:12">
      <c r="C161" s="293" t="s">
        <v>152</v>
      </c>
      <c r="D161" s="293"/>
      <c r="E161" s="293"/>
      <c r="F161" s="293"/>
      <c r="G161" s="293"/>
      <c r="H161" s="293"/>
      <c r="I161" s="293"/>
      <c r="J161" s="293"/>
      <c r="K161" s="293"/>
      <c r="L161" s="293"/>
    </row>
    <row r="162" spans="3:12">
      <c r="C162" s="293"/>
      <c r="D162" s="293"/>
      <c r="E162" s="293"/>
      <c r="F162" s="293"/>
      <c r="G162" s="293"/>
      <c r="H162" s="293"/>
      <c r="I162" s="293"/>
      <c r="J162" s="293"/>
      <c r="K162" s="293"/>
      <c r="L162" s="29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105</v>
      </c>
      <c r="D2" s="4"/>
      <c r="E2" s="4"/>
      <c r="F2" s="4"/>
      <c r="G2" s="4"/>
      <c r="H2" s="4"/>
      <c r="I2" s="4"/>
      <c r="J2" s="4"/>
      <c r="K2" s="4"/>
      <c r="L2" s="4"/>
      <c r="M2" s="4"/>
      <c r="R2" s="4" t="s">
        <v>125</v>
      </c>
      <c r="S2" s="4"/>
      <c r="T2" s="4"/>
      <c r="U2" s="4"/>
      <c r="V2" s="4"/>
      <c r="W2" s="4"/>
      <c r="X2" s="4"/>
      <c r="Y2" s="4"/>
      <c r="Z2" s="4"/>
      <c r="AA2" s="4"/>
      <c r="AB2" s="4"/>
      <c r="AC2" s="4"/>
      <c r="AD2" s="4"/>
      <c r="AE2" s="4"/>
      <c r="AF2" s="4"/>
      <c r="AG2" s="4"/>
      <c r="AH2" s="4"/>
      <c r="AI2" s="4"/>
      <c r="AJ2" s="4"/>
      <c r="AK2" s="4"/>
      <c r="AO2" s="4" t="s">
        <v>183</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43" t="str">
        <f>"Table 3. "&amp;City_label&amp;" number of households by housing cost burden, 2019"</f>
        <v>Table 3. Algona number of households by housing cost burden, 2019</v>
      </c>
      <c r="J4" t="s">
        <v>184</v>
      </c>
      <c r="R4" s="16" t="s">
        <v>126</v>
      </c>
      <c r="S4" s="44" t="str">
        <f>City</f>
        <v>Algona city, Washington</v>
      </c>
    </row>
    <row r="5" spans="3:66" ht="15.75" customHeight="1" thickBot="1">
      <c r="R5" s="16" t="s">
        <v>127</v>
      </c>
      <c r="S5" s="44" t="str">
        <f>County</f>
        <v>King County, Washington</v>
      </c>
      <c r="AD5" s="153" t="s">
        <v>185</v>
      </c>
      <c r="AR5" s="187"/>
      <c r="AU5" s="188"/>
      <c r="AX5" s="185"/>
      <c r="BA5" s="149"/>
      <c r="BH5" s="149"/>
    </row>
    <row r="6" spans="3:66" ht="14.25" customHeight="1">
      <c r="C6" s="56"/>
      <c r="D6" s="56"/>
      <c r="E6" s="65"/>
      <c r="F6" s="300" t="s">
        <v>136</v>
      </c>
      <c r="G6" s="300" t="s">
        <v>139</v>
      </c>
      <c r="H6" s="300" t="s">
        <v>145</v>
      </c>
      <c r="I6" s="300" t="s">
        <v>186</v>
      </c>
      <c r="J6" s="300" t="s">
        <v>187</v>
      </c>
      <c r="K6" s="300" t="s">
        <v>151</v>
      </c>
      <c r="L6" s="300" t="s">
        <v>188</v>
      </c>
      <c r="M6" s="300" t="s">
        <v>149</v>
      </c>
      <c r="T6" s="299" t="s">
        <v>136</v>
      </c>
      <c r="U6" s="299" t="s">
        <v>139</v>
      </c>
      <c r="V6" s="299" t="s">
        <v>145</v>
      </c>
      <c r="W6" s="299" t="s">
        <v>186</v>
      </c>
      <c r="X6" s="299" t="s">
        <v>187</v>
      </c>
      <c r="Y6" s="299" t="s">
        <v>151</v>
      </c>
      <c r="Z6" s="299" t="s">
        <v>157</v>
      </c>
      <c r="AA6" s="299" t="s">
        <v>189</v>
      </c>
      <c r="AQ6" s="307" t="s">
        <v>190</v>
      </c>
      <c r="AR6" s="307"/>
      <c r="AS6" s="307"/>
      <c r="AT6" s="307" t="s">
        <v>191</v>
      </c>
      <c r="AU6" s="307"/>
      <c r="AV6" s="307"/>
      <c r="AW6" s="307" t="s">
        <v>192</v>
      </c>
      <c r="AX6" s="307"/>
      <c r="AY6" s="307"/>
      <c r="AZ6" s="307" t="s">
        <v>193</v>
      </c>
      <c r="BA6" s="307"/>
      <c r="BB6" s="307"/>
      <c r="BG6" s="302" t="s">
        <v>193</v>
      </c>
      <c r="BH6" s="302"/>
      <c r="BI6" s="302"/>
    </row>
    <row r="7" spans="3:66" ht="19.5" customHeight="1">
      <c r="C7" s="73"/>
      <c r="D7" s="73"/>
      <c r="E7" s="72"/>
      <c r="F7" s="301"/>
      <c r="G7" s="301"/>
      <c r="H7" s="301"/>
      <c r="I7" s="301"/>
      <c r="J7" s="301"/>
      <c r="K7" s="301"/>
      <c r="L7" s="301"/>
      <c r="M7" s="301"/>
      <c r="S7" s="153" t="s">
        <v>194</v>
      </c>
      <c r="T7" s="299"/>
      <c r="U7" s="299"/>
      <c r="V7" s="299"/>
      <c r="W7" s="299"/>
      <c r="X7" s="299"/>
      <c r="Y7" s="299"/>
      <c r="Z7" s="299"/>
      <c r="AA7" s="299"/>
      <c r="AB7" s="5"/>
      <c r="AC7" s="5"/>
      <c r="AD7" s="303"/>
      <c r="AE7" s="305" t="s">
        <v>145</v>
      </c>
      <c r="AF7" s="304" t="s">
        <v>139</v>
      </c>
      <c r="AG7" s="306" t="s">
        <v>157</v>
      </c>
      <c r="AH7" s="305" t="s">
        <v>195</v>
      </c>
      <c r="AI7" s="315" t="s">
        <v>196</v>
      </c>
      <c r="AJ7" s="315" t="s">
        <v>136</v>
      </c>
      <c r="AK7" s="305" t="s">
        <v>149</v>
      </c>
      <c r="AQ7" s="307"/>
      <c r="AR7" s="307"/>
      <c r="AS7" s="307"/>
      <c r="AT7" s="307"/>
      <c r="AU7" s="307"/>
      <c r="AV7" s="307"/>
      <c r="AW7" s="307"/>
      <c r="AX7" s="307"/>
      <c r="AY7" s="307"/>
      <c r="AZ7" s="307"/>
      <c r="BA7" s="307"/>
      <c r="BB7" s="307"/>
      <c r="BG7" s="302"/>
      <c r="BH7" s="302"/>
      <c r="BI7" s="302"/>
    </row>
    <row r="8" spans="3:66" ht="19.5" customHeight="1">
      <c r="C8" s="73"/>
      <c r="D8" s="73"/>
      <c r="E8" s="72"/>
      <c r="F8" s="301"/>
      <c r="G8" s="301"/>
      <c r="H8" s="301"/>
      <c r="I8" s="301"/>
      <c r="J8" s="301"/>
      <c r="K8" s="301"/>
      <c r="L8" s="301"/>
      <c r="M8" s="301"/>
      <c r="S8" s="5"/>
      <c r="T8" s="299"/>
      <c r="U8" s="299"/>
      <c r="V8" s="299"/>
      <c r="W8" s="299"/>
      <c r="X8" s="299"/>
      <c r="Y8" s="299"/>
      <c r="Z8" s="299"/>
      <c r="AA8" s="299"/>
      <c r="AB8" s="5"/>
      <c r="AC8" s="5"/>
      <c r="AD8" s="303"/>
      <c r="AE8" s="305"/>
      <c r="AF8" s="304"/>
      <c r="AG8" s="306"/>
      <c r="AH8" s="305"/>
      <c r="AI8" s="315"/>
      <c r="AJ8" s="315"/>
      <c r="AK8" s="305"/>
      <c r="BH8" s="185"/>
    </row>
    <row r="9" spans="3:66" ht="18" customHeight="1">
      <c r="C9" s="71" t="s">
        <v>197</v>
      </c>
      <c r="D9" s="71"/>
      <c r="E9" s="71"/>
      <c r="F9" s="71"/>
      <c r="G9" s="71"/>
      <c r="H9" s="71"/>
      <c r="I9" s="71"/>
      <c r="J9" s="71"/>
      <c r="K9" s="71"/>
      <c r="L9" s="71"/>
      <c r="M9" s="71"/>
      <c r="S9" s="5"/>
      <c r="T9" s="299"/>
      <c r="U9" s="299"/>
      <c r="V9" s="299"/>
      <c r="W9" s="299"/>
      <c r="X9" s="299"/>
      <c r="Y9" s="299"/>
      <c r="Z9" s="299"/>
      <c r="AA9" s="299"/>
      <c r="AB9" s="5"/>
      <c r="AC9" s="5"/>
      <c r="AD9" s="303"/>
      <c r="AE9" s="305"/>
      <c r="AF9" s="304"/>
      <c r="AG9" s="306"/>
      <c r="AH9" s="305"/>
      <c r="AI9" s="315"/>
      <c r="AJ9" s="315"/>
      <c r="AK9" s="305"/>
      <c r="BG9" s="302" t="s">
        <v>192</v>
      </c>
      <c r="BH9" s="302"/>
      <c r="BI9" s="302"/>
    </row>
    <row r="10" spans="3:66">
      <c r="C10" s="61" t="str">
        <f>S30</f>
        <v>Not Cost Burdened</v>
      </c>
      <c r="D10" s="21"/>
      <c r="E10" s="21"/>
      <c r="F10" s="94">
        <f t="shared" ref="F10:L10" si="0">T30</f>
        <v>305</v>
      </c>
      <c r="G10" s="94">
        <f t="shared" si="0"/>
        <v>20</v>
      </c>
      <c r="H10" s="94">
        <f t="shared" si="0"/>
        <v>100</v>
      </c>
      <c r="I10" s="94">
        <f t="shared" si="0"/>
        <v>25</v>
      </c>
      <c r="J10" s="94">
        <f t="shared" si="0"/>
        <v>15</v>
      </c>
      <c r="K10" s="94">
        <f t="shared" si="0"/>
        <v>20</v>
      </c>
      <c r="L10" s="94">
        <f t="shared" si="0"/>
        <v>55</v>
      </c>
      <c r="M10" s="94">
        <f>SUM(F10:L10)</f>
        <v>540</v>
      </c>
      <c r="S10" s="25" t="s">
        <v>198</v>
      </c>
      <c r="T10" s="5">
        <f t="shared" ref="T10:AA13" si="1">T30+T50</f>
        <v>375</v>
      </c>
      <c r="U10" s="5">
        <f t="shared" si="1"/>
        <v>24</v>
      </c>
      <c r="V10" s="5">
        <f t="shared" si="1"/>
        <v>104</v>
      </c>
      <c r="W10" s="5">
        <f t="shared" si="1"/>
        <v>25</v>
      </c>
      <c r="X10" s="5">
        <f t="shared" si="1"/>
        <v>15</v>
      </c>
      <c r="Y10" s="5">
        <f t="shared" si="1"/>
        <v>20</v>
      </c>
      <c r="Z10" s="5">
        <f t="shared" si="1"/>
        <v>80</v>
      </c>
      <c r="AA10" s="5">
        <f t="shared" si="1"/>
        <v>643</v>
      </c>
      <c r="AB10" s="5"/>
      <c r="AC10" s="5"/>
      <c r="AD10" s="25" t="s">
        <v>198</v>
      </c>
      <c r="AE10" s="5">
        <f>V10</f>
        <v>104</v>
      </c>
      <c r="AF10" s="5">
        <f>U10</f>
        <v>24</v>
      </c>
      <c r="AG10" s="5">
        <f>'Cost Burden'!Z10</f>
        <v>80</v>
      </c>
      <c r="AH10" s="5">
        <f>SUM(W10:Y10)</f>
        <v>60</v>
      </c>
      <c r="AI10" s="5">
        <f t="shared" ref="AI10" si="2">SUM(U10:Z10)</f>
        <v>268</v>
      </c>
      <c r="AJ10" s="5">
        <f>T10</f>
        <v>375</v>
      </c>
      <c r="AK10" s="5">
        <f t="shared" ref="AK10" si="3">SUM(AJ10,AE10:AH10)</f>
        <v>643</v>
      </c>
      <c r="AQ10" s="23"/>
      <c r="BC10" s="33"/>
      <c r="BG10" s="302"/>
      <c r="BH10" s="302"/>
      <c r="BI10" s="302"/>
    </row>
    <row r="11" spans="3:66" ht="13.9" customHeight="1">
      <c r="C11" s="61" t="str">
        <f>S36</f>
        <v>Total Cost-Burdened</v>
      </c>
      <c r="D11" s="21"/>
      <c r="E11" s="21"/>
      <c r="F11" s="94">
        <f>T36</f>
        <v>125</v>
      </c>
      <c r="G11" s="94">
        <f t="shared" ref="G11:L11" si="4">U36</f>
        <v>15</v>
      </c>
      <c r="H11" s="94">
        <f t="shared" si="4"/>
        <v>24</v>
      </c>
      <c r="I11" s="94">
        <f t="shared" si="4"/>
        <v>0</v>
      </c>
      <c r="J11" s="94">
        <f t="shared" si="4"/>
        <v>0</v>
      </c>
      <c r="K11" s="94">
        <f t="shared" si="4"/>
        <v>0</v>
      </c>
      <c r="L11" s="94">
        <f t="shared" si="4"/>
        <v>15</v>
      </c>
      <c r="M11" s="94">
        <f t="shared" ref="M11:M14" si="5">SUM(F11:L11)</f>
        <v>179</v>
      </c>
      <c r="S11" s="25" t="s">
        <v>191</v>
      </c>
      <c r="T11" s="5">
        <f t="shared" si="1"/>
        <v>115</v>
      </c>
      <c r="U11" s="5">
        <f t="shared" si="1"/>
        <v>25</v>
      </c>
      <c r="V11" s="5">
        <f t="shared" si="1"/>
        <v>30</v>
      </c>
      <c r="W11" s="5">
        <f t="shared" si="1"/>
        <v>0</v>
      </c>
      <c r="X11" s="5">
        <f t="shared" si="1"/>
        <v>0</v>
      </c>
      <c r="Y11" s="5">
        <f t="shared" si="1"/>
        <v>0</v>
      </c>
      <c r="Z11" s="5">
        <f t="shared" si="1"/>
        <v>4</v>
      </c>
      <c r="AA11" s="5">
        <f t="shared" si="1"/>
        <v>174</v>
      </c>
      <c r="AB11" s="5"/>
      <c r="AC11" s="5"/>
      <c r="AD11" s="25" t="s">
        <v>191</v>
      </c>
      <c r="AE11" s="5">
        <f t="shared" ref="AE11:AE14" si="6">V11</f>
        <v>30</v>
      </c>
      <c r="AF11" s="5">
        <f t="shared" ref="AF11:AF13" si="7">U11</f>
        <v>25</v>
      </c>
      <c r="AG11" s="5">
        <f>'Cost Burden'!Z11</f>
        <v>4</v>
      </c>
      <c r="AH11" s="5">
        <f t="shared" ref="AH11:AH13" si="8">SUM(W11:Y11)</f>
        <v>0</v>
      </c>
      <c r="AI11" s="5">
        <f t="shared" ref="AI11:AI13" si="9">SUM(U11:Z11)</f>
        <v>59</v>
      </c>
      <c r="AJ11" s="5">
        <f t="shared" ref="AJ11:AJ13" si="10">T11</f>
        <v>115</v>
      </c>
      <c r="AK11" s="5">
        <f t="shared" ref="AK11:AK13" si="11">SUM(AJ11,AE11:AH11)</f>
        <v>174</v>
      </c>
      <c r="AQ11" s="23"/>
      <c r="BC11" s="33"/>
      <c r="BH11" s="188"/>
    </row>
    <row r="12" spans="3:66">
      <c r="C12" s="108" t="str">
        <f>S31</f>
        <v>Cost-Burdened (30-50%)</v>
      </c>
      <c r="D12" s="109"/>
      <c r="E12" s="109"/>
      <c r="F12" s="205">
        <f t="shared" ref="F12:L14" si="12">T31</f>
        <v>85</v>
      </c>
      <c r="G12" s="205">
        <f t="shared" si="12"/>
        <v>0</v>
      </c>
      <c r="H12" s="205">
        <f t="shared" si="12"/>
        <v>20</v>
      </c>
      <c r="I12" s="205">
        <f t="shared" si="12"/>
        <v>0</v>
      </c>
      <c r="J12" s="205">
        <f t="shared" si="12"/>
        <v>0</v>
      </c>
      <c r="K12" s="205">
        <f t="shared" si="12"/>
        <v>0</v>
      </c>
      <c r="L12" s="205">
        <f t="shared" si="12"/>
        <v>0</v>
      </c>
      <c r="M12" s="205">
        <f t="shared" si="5"/>
        <v>105</v>
      </c>
      <c r="S12" s="25" t="s">
        <v>190</v>
      </c>
      <c r="T12" s="5">
        <f t="shared" si="1"/>
        <v>50</v>
      </c>
      <c r="U12" s="5">
        <f t="shared" si="1"/>
        <v>15</v>
      </c>
      <c r="V12" s="5">
        <f t="shared" si="1"/>
        <v>8</v>
      </c>
      <c r="W12" s="5">
        <f t="shared" si="1"/>
        <v>0</v>
      </c>
      <c r="X12" s="5">
        <f t="shared" si="1"/>
        <v>0</v>
      </c>
      <c r="Y12" s="5">
        <f t="shared" si="1"/>
        <v>0</v>
      </c>
      <c r="Z12" s="5">
        <f t="shared" si="1"/>
        <v>15</v>
      </c>
      <c r="AA12" s="5">
        <f t="shared" si="1"/>
        <v>88</v>
      </c>
      <c r="AB12" s="5"/>
      <c r="AC12" s="5"/>
      <c r="AD12" s="25" t="s">
        <v>190</v>
      </c>
      <c r="AE12" s="5">
        <f t="shared" si="6"/>
        <v>8</v>
      </c>
      <c r="AF12" s="5">
        <f t="shared" si="7"/>
        <v>15</v>
      </c>
      <c r="AG12" s="5">
        <f>'Cost Burden'!Z12</f>
        <v>15</v>
      </c>
      <c r="AH12" s="5">
        <f t="shared" si="8"/>
        <v>0</v>
      </c>
      <c r="AI12" s="5">
        <f t="shared" si="9"/>
        <v>38</v>
      </c>
      <c r="AJ12" s="5">
        <f t="shared" si="10"/>
        <v>50</v>
      </c>
      <c r="AK12" s="5">
        <f t="shared" si="11"/>
        <v>88</v>
      </c>
      <c r="AQ12" s="23"/>
      <c r="BC12" s="33"/>
      <c r="BG12" s="302" t="s">
        <v>191</v>
      </c>
      <c r="BH12" s="302"/>
      <c r="BI12" s="302"/>
    </row>
    <row r="13" spans="3:66">
      <c r="C13" s="108" t="str">
        <f>S32</f>
        <v>Severely Cost-Burdened (&gt;50%)</v>
      </c>
      <c r="D13" s="109"/>
      <c r="E13" s="109"/>
      <c r="F13" s="205">
        <f t="shared" si="12"/>
        <v>40</v>
      </c>
      <c r="G13" s="205">
        <f t="shared" si="12"/>
        <v>15</v>
      </c>
      <c r="H13" s="205">
        <f t="shared" si="12"/>
        <v>4</v>
      </c>
      <c r="I13" s="205">
        <f t="shared" si="12"/>
        <v>0</v>
      </c>
      <c r="J13" s="205">
        <f t="shared" si="12"/>
        <v>0</v>
      </c>
      <c r="K13" s="205">
        <f t="shared" si="12"/>
        <v>0</v>
      </c>
      <c r="L13" s="205">
        <f t="shared" si="12"/>
        <v>15</v>
      </c>
      <c r="M13" s="205">
        <f t="shared" si="5"/>
        <v>74</v>
      </c>
      <c r="S13" s="25" t="s">
        <v>193</v>
      </c>
      <c r="T13" s="5">
        <f t="shared" si="1"/>
        <v>4</v>
      </c>
      <c r="U13" s="5">
        <f t="shared" si="1"/>
        <v>0</v>
      </c>
      <c r="V13" s="5">
        <f t="shared" si="1"/>
        <v>0</v>
      </c>
      <c r="W13" s="5">
        <f t="shared" si="1"/>
        <v>0</v>
      </c>
      <c r="X13" s="5">
        <f t="shared" si="1"/>
        <v>0</v>
      </c>
      <c r="Y13" s="5">
        <f t="shared" si="1"/>
        <v>0</v>
      </c>
      <c r="Z13" s="5">
        <f t="shared" si="1"/>
        <v>0</v>
      </c>
      <c r="AA13" s="5">
        <f t="shared" si="1"/>
        <v>4</v>
      </c>
      <c r="AB13" s="5"/>
      <c r="AC13" s="5"/>
      <c r="AD13" s="25" t="s">
        <v>193</v>
      </c>
      <c r="AE13" s="5">
        <f t="shared" si="6"/>
        <v>0</v>
      </c>
      <c r="AF13" s="5">
        <f t="shared" si="7"/>
        <v>0</v>
      </c>
      <c r="AG13" s="5">
        <f>'Cost Burden'!Z13</f>
        <v>0</v>
      </c>
      <c r="AH13" s="5">
        <f t="shared" si="8"/>
        <v>0</v>
      </c>
      <c r="AI13" s="5">
        <f t="shared" si="9"/>
        <v>0</v>
      </c>
      <c r="AJ13" s="5">
        <f t="shared" si="10"/>
        <v>4</v>
      </c>
      <c r="AK13" s="5">
        <f t="shared" si="11"/>
        <v>4</v>
      </c>
      <c r="BC13" s="33"/>
      <c r="BG13" s="302"/>
      <c r="BH13" s="302"/>
      <c r="BI13" s="302"/>
    </row>
    <row r="14" spans="3:66" ht="15">
      <c r="C14" s="61" t="str">
        <f>S33</f>
        <v>Not Calculated</v>
      </c>
      <c r="D14" s="21"/>
      <c r="E14" s="21"/>
      <c r="F14" s="95">
        <f t="shared" si="12"/>
        <v>0</v>
      </c>
      <c r="G14" s="95">
        <f t="shared" si="12"/>
        <v>0</v>
      </c>
      <c r="H14" s="95">
        <f t="shared" si="12"/>
        <v>0</v>
      </c>
      <c r="I14" s="95">
        <f t="shared" si="12"/>
        <v>0</v>
      </c>
      <c r="J14" s="95">
        <f t="shared" si="12"/>
        <v>0</v>
      </c>
      <c r="K14" s="95">
        <f t="shared" si="12"/>
        <v>0</v>
      </c>
      <c r="L14" s="95">
        <f t="shared" si="12"/>
        <v>0</v>
      </c>
      <c r="M14" s="95">
        <f t="shared" si="5"/>
        <v>0</v>
      </c>
      <c r="S14" s="25" t="s">
        <v>149</v>
      </c>
      <c r="T14" s="29">
        <f t="shared" ref="T14:Z14" si="13">SUM(T10:T13)</f>
        <v>544</v>
      </c>
      <c r="U14" s="29">
        <f t="shared" si="13"/>
        <v>64</v>
      </c>
      <c r="V14" s="29">
        <f t="shared" si="13"/>
        <v>142</v>
      </c>
      <c r="W14" s="29">
        <f t="shared" si="13"/>
        <v>25</v>
      </c>
      <c r="X14" s="29">
        <f t="shared" si="13"/>
        <v>15</v>
      </c>
      <c r="Y14" s="29">
        <f t="shared" si="13"/>
        <v>20</v>
      </c>
      <c r="Z14" s="29">
        <f t="shared" si="13"/>
        <v>99</v>
      </c>
      <c r="AA14" s="29">
        <f>AA34+AA54</f>
        <v>910</v>
      </c>
      <c r="AB14" s="5"/>
      <c r="AC14" s="5"/>
      <c r="AD14" s="26" t="s">
        <v>149</v>
      </c>
      <c r="AE14" s="29">
        <f t="shared" si="6"/>
        <v>142</v>
      </c>
      <c r="AF14" s="29">
        <f t="shared" ref="AF14" si="14">U14</f>
        <v>64</v>
      </c>
      <c r="AG14" s="29">
        <f>'Cost Burden'!Z14</f>
        <v>99</v>
      </c>
      <c r="AH14" s="29">
        <f t="shared" ref="AH14" si="15">SUM(W14:Y14)</f>
        <v>60</v>
      </c>
      <c r="AI14" s="29">
        <f t="shared" ref="AI14" si="16">SUM(U14:Z14)</f>
        <v>365</v>
      </c>
      <c r="AJ14" s="29">
        <f t="shared" ref="AJ14" si="17">T14</f>
        <v>544</v>
      </c>
      <c r="AK14" s="50">
        <f>AA14</f>
        <v>910</v>
      </c>
      <c r="BC14" s="33"/>
      <c r="BH14" s="187"/>
    </row>
    <row r="15" spans="3:66" ht="15">
      <c r="C15" s="21"/>
      <c r="D15" s="21"/>
      <c r="E15" s="67" t="str">
        <f>S14</f>
        <v>Total</v>
      </c>
      <c r="F15" s="96">
        <f>T34</f>
        <v>430</v>
      </c>
      <c r="G15" s="96">
        <f t="shared" ref="G15:L15" si="18">U34</f>
        <v>30</v>
      </c>
      <c r="H15" s="96">
        <f t="shared" si="18"/>
        <v>120</v>
      </c>
      <c r="I15" s="96">
        <f t="shared" si="18"/>
        <v>25</v>
      </c>
      <c r="J15" s="96">
        <f t="shared" si="18"/>
        <v>15</v>
      </c>
      <c r="K15" s="96">
        <f t="shared" si="18"/>
        <v>20</v>
      </c>
      <c r="L15" s="96">
        <f t="shared" si="18"/>
        <v>75</v>
      </c>
      <c r="M15" s="96">
        <f>SUM(F15:L15)</f>
        <v>715</v>
      </c>
      <c r="S15" s="105" t="s">
        <v>199</v>
      </c>
      <c r="T15" s="105">
        <f>T14-SUM(T10:T13)</f>
        <v>0</v>
      </c>
      <c r="U15" s="105">
        <f t="shared" ref="U15:Z15" si="19">U14-SUM(U10:U13)</f>
        <v>0</v>
      </c>
      <c r="V15" s="105">
        <f t="shared" si="19"/>
        <v>0</v>
      </c>
      <c r="W15" s="105">
        <f t="shared" si="19"/>
        <v>0</v>
      </c>
      <c r="X15" s="105">
        <f t="shared" si="19"/>
        <v>0</v>
      </c>
      <c r="Y15" s="105">
        <f t="shared" si="19"/>
        <v>0</v>
      </c>
      <c r="Z15" s="105">
        <f t="shared" si="19"/>
        <v>0</v>
      </c>
      <c r="AA15" s="5"/>
      <c r="AB15" s="5"/>
      <c r="AC15" s="29"/>
      <c r="BC15" s="33"/>
      <c r="BG15" s="302" t="s">
        <v>190</v>
      </c>
      <c r="BH15" s="302"/>
      <c r="BI15" s="302"/>
    </row>
    <row r="16" spans="3:66">
      <c r="C16" s="71" t="s">
        <v>200</v>
      </c>
      <c r="D16" s="71"/>
      <c r="E16" s="71"/>
      <c r="F16" s="97"/>
      <c r="G16" s="97"/>
      <c r="H16" s="97"/>
      <c r="I16" s="97"/>
      <c r="J16" s="97"/>
      <c r="K16" s="97"/>
      <c r="L16" s="97"/>
      <c r="M16" s="97"/>
      <c r="S16" s="105" t="s">
        <v>201</v>
      </c>
      <c r="T16" s="105">
        <f t="shared" ref="T16:Z16" si="20">T37+T56</f>
        <v>40</v>
      </c>
      <c r="U16" s="105">
        <f t="shared" si="20"/>
        <v>25</v>
      </c>
      <c r="V16" s="105">
        <f t="shared" si="20"/>
        <v>14</v>
      </c>
      <c r="W16" s="105">
        <f t="shared" si="20"/>
        <v>0</v>
      </c>
      <c r="X16" s="105">
        <f t="shared" si="20"/>
        <v>0</v>
      </c>
      <c r="Y16" s="105">
        <f t="shared" si="20"/>
        <v>0</v>
      </c>
      <c r="Z16" s="105">
        <f t="shared" si="20"/>
        <v>4</v>
      </c>
      <c r="AA16" s="5"/>
      <c r="AB16" s="5"/>
      <c r="AC16" s="5"/>
      <c r="AD16" s="105" t="s">
        <v>201</v>
      </c>
      <c r="AE16" s="105">
        <f>V16</f>
        <v>14</v>
      </c>
      <c r="AF16" s="105">
        <f>U16</f>
        <v>25</v>
      </c>
      <c r="AG16" s="105">
        <f>'Cost Burden'!Z16</f>
        <v>4</v>
      </c>
      <c r="AH16" s="105">
        <f>SUM(W16:Y16)</f>
        <v>0</v>
      </c>
      <c r="AI16" s="105">
        <f>SUM(U16:Z16)</f>
        <v>43</v>
      </c>
      <c r="AJ16" s="105">
        <f>T16</f>
        <v>40</v>
      </c>
      <c r="AK16" s="105">
        <f>SUM(AJ16,AE16:AH16)</f>
        <v>83</v>
      </c>
      <c r="BC16" s="33"/>
      <c r="BG16" s="302"/>
      <c r="BH16" s="302"/>
      <c r="BI16" s="302"/>
    </row>
    <row r="17" spans="3:55">
      <c r="C17" s="61" t="str">
        <f>S50</f>
        <v>Not Cost Burdened</v>
      </c>
      <c r="D17" s="21"/>
      <c r="E17" s="21"/>
      <c r="F17" s="94">
        <f t="shared" ref="F17:L17" si="21">T50</f>
        <v>70</v>
      </c>
      <c r="G17" s="94">
        <f t="shared" si="21"/>
        <v>4</v>
      </c>
      <c r="H17" s="94">
        <f t="shared" si="21"/>
        <v>4</v>
      </c>
      <c r="I17" s="94">
        <f t="shared" si="21"/>
        <v>0</v>
      </c>
      <c r="J17" s="94">
        <f t="shared" si="21"/>
        <v>0</v>
      </c>
      <c r="K17" s="94">
        <f t="shared" si="21"/>
        <v>0</v>
      </c>
      <c r="L17" s="94">
        <f t="shared" si="21"/>
        <v>25</v>
      </c>
      <c r="M17" s="94">
        <f>SUM(F17:L17)</f>
        <v>103</v>
      </c>
      <c r="S17" s="5"/>
      <c r="T17" s="5"/>
      <c r="U17" s="5"/>
      <c r="V17" s="5"/>
      <c r="W17" s="5"/>
      <c r="X17" s="5"/>
      <c r="Y17" s="5"/>
      <c r="Z17" s="5"/>
      <c r="AA17" s="5"/>
      <c r="AB17" s="5"/>
      <c r="AC17" s="5"/>
      <c r="AD17" s="5"/>
      <c r="AE17" s="5"/>
      <c r="AF17" s="5"/>
      <c r="AG17" s="5"/>
      <c r="AH17" s="5"/>
      <c r="AI17" s="5"/>
      <c r="AJ17" s="5"/>
      <c r="AK17" s="5"/>
      <c r="BC17" s="33"/>
    </row>
    <row r="18" spans="3:55" ht="15">
      <c r="C18" s="61" t="str">
        <f>S56</f>
        <v>Total Cost-Burdened</v>
      </c>
      <c r="D18" s="21"/>
      <c r="E18" s="21"/>
      <c r="F18" s="94">
        <f t="shared" ref="F18:L18" si="22">T56</f>
        <v>40</v>
      </c>
      <c r="G18" s="94">
        <f t="shared" si="22"/>
        <v>25</v>
      </c>
      <c r="H18" s="94">
        <f t="shared" si="22"/>
        <v>14</v>
      </c>
      <c r="I18" s="94">
        <f t="shared" si="22"/>
        <v>0</v>
      </c>
      <c r="J18" s="94">
        <f t="shared" si="22"/>
        <v>0</v>
      </c>
      <c r="K18" s="94">
        <f t="shared" si="22"/>
        <v>0</v>
      </c>
      <c r="L18" s="94">
        <f t="shared" si="22"/>
        <v>4</v>
      </c>
      <c r="M18" s="94">
        <f t="shared" ref="M18:M21" si="23">SUM(F18:L18)</f>
        <v>83</v>
      </c>
      <c r="S18" s="46" t="s">
        <v>202</v>
      </c>
      <c r="T18" s="47"/>
      <c r="U18" s="47"/>
      <c r="V18" s="47"/>
      <c r="W18" s="47"/>
      <c r="X18" s="47"/>
      <c r="Y18" s="47"/>
      <c r="Z18" s="47"/>
      <c r="AA18" s="5"/>
      <c r="AB18" s="5"/>
      <c r="AC18" s="5"/>
      <c r="AD18" s="46" t="s">
        <v>202</v>
      </c>
      <c r="AE18" s="46"/>
      <c r="AF18" s="46"/>
      <c r="AG18" s="46"/>
      <c r="AH18" s="46"/>
      <c r="AI18" s="46"/>
      <c r="AJ18" s="46"/>
      <c r="AK18" s="46"/>
      <c r="BC18" s="33"/>
    </row>
    <row r="19" spans="3:55" ht="14.25" customHeight="1">
      <c r="C19" s="108" t="str">
        <f>S51</f>
        <v>Cost-Burdened (30-50%)</v>
      </c>
      <c r="D19" s="111"/>
      <c r="E19" s="109"/>
      <c r="F19" s="110">
        <f t="shared" ref="F19:L21" si="24">T51</f>
        <v>30</v>
      </c>
      <c r="G19" s="110">
        <f t="shared" si="24"/>
        <v>25</v>
      </c>
      <c r="H19" s="110">
        <f t="shared" si="24"/>
        <v>10</v>
      </c>
      <c r="I19" s="110">
        <f t="shared" si="24"/>
        <v>0</v>
      </c>
      <c r="J19" s="110">
        <f t="shared" si="24"/>
        <v>0</v>
      </c>
      <c r="K19" s="110">
        <f t="shared" si="24"/>
        <v>0</v>
      </c>
      <c r="L19" s="110">
        <f t="shared" si="24"/>
        <v>4</v>
      </c>
      <c r="M19" s="94">
        <f t="shared" si="23"/>
        <v>69</v>
      </c>
      <c r="S19" s="5"/>
      <c r="T19" s="5"/>
      <c r="U19" s="5"/>
      <c r="V19" s="5"/>
      <c r="W19" s="5"/>
      <c r="X19" s="5"/>
      <c r="Y19" s="5"/>
      <c r="Z19" s="5"/>
      <c r="AA19" s="5"/>
      <c r="AB19" s="5"/>
      <c r="AC19" s="5"/>
      <c r="AE19" s="305" t="s">
        <v>145</v>
      </c>
      <c r="AF19" s="304" t="s">
        <v>139</v>
      </c>
      <c r="AG19" s="306" t="s">
        <v>157</v>
      </c>
      <c r="AH19" s="305" t="s">
        <v>195</v>
      </c>
      <c r="AI19" s="315" t="s">
        <v>196</v>
      </c>
      <c r="AJ19" s="315" t="s">
        <v>136</v>
      </c>
      <c r="AK19" s="305" t="s">
        <v>149</v>
      </c>
      <c r="BC19" s="33"/>
    </row>
    <row r="20" spans="3:55" ht="15" customHeight="1">
      <c r="C20" s="108" t="str">
        <f>S52</f>
        <v>Severely Cost-Burdened (&gt;50%)</v>
      </c>
      <c r="D20" s="111"/>
      <c r="E20" s="109"/>
      <c r="F20" s="110">
        <f t="shared" si="24"/>
        <v>10</v>
      </c>
      <c r="G20" s="110">
        <f t="shared" si="24"/>
        <v>0</v>
      </c>
      <c r="H20" s="110">
        <f t="shared" si="24"/>
        <v>4</v>
      </c>
      <c r="I20" s="110">
        <f t="shared" si="24"/>
        <v>0</v>
      </c>
      <c r="J20" s="110">
        <f t="shared" si="24"/>
        <v>0</v>
      </c>
      <c r="K20" s="110">
        <f t="shared" si="24"/>
        <v>0</v>
      </c>
      <c r="L20" s="110">
        <f t="shared" si="24"/>
        <v>0</v>
      </c>
      <c r="M20" s="94">
        <f t="shared" si="23"/>
        <v>14</v>
      </c>
      <c r="R20" s="90"/>
      <c r="T20" s="49" t="s">
        <v>80</v>
      </c>
      <c r="U20" s="49" t="s">
        <v>80</v>
      </c>
      <c r="V20" s="49" t="s">
        <v>80</v>
      </c>
      <c r="W20" s="49" t="s">
        <v>80</v>
      </c>
      <c r="X20" s="49" t="s">
        <v>80</v>
      </c>
      <c r="Y20" s="49" t="s">
        <v>80</v>
      </c>
      <c r="Z20" s="49" t="s">
        <v>80</v>
      </c>
      <c r="AA20" s="5"/>
      <c r="AB20" s="5"/>
      <c r="AC20" s="5"/>
      <c r="AD20" s="5"/>
      <c r="AE20" s="305"/>
      <c r="AF20" s="304"/>
      <c r="AG20" s="306"/>
      <c r="AH20" s="305"/>
      <c r="AI20" s="315"/>
      <c r="AJ20" s="315"/>
      <c r="AK20" s="305"/>
      <c r="AQ20" s="23"/>
      <c r="BC20" s="33"/>
    </row>
    <row r="21" spans="3:55" ht="14.25" customHeight="1">
      <c r="C21" s="61" t="str">
        <f>S53</f>
        <v>Not Calculated</v>
      </c>
      <c r="D21" s="21"/>
      <c r="E21" s="21"/>
      <c r="F21" s="95">
        <f t="shared" si="24"/>
        <v>4</v>
      </c>
      <c r="G21" s="95">
        <f t="shared" si="24"/>
        <v>0</v>
      </c>
      <c r="H21" s="95">
        <f t="shared" si="24"/>
        <v>0</v>
      </c>
      <c r="I21" s="95">
        <f t="shared" si="24"/>
        <v>0</v>
      </c>
      <c r="J21" s="95">
        <f t="shared" si="24"/>
        <v>0</v>
      </c>
      <c r="K21" s="95">
        <f t="shared" si="24"/>
        <v>0</v>
      </c>
      <c r="L21" s="95">
        <f t="shared" si="24"/>
        <v>0</v>
      </c>
      <c r="M21" s="95">
        <f t="shared" si="23"/>
        <v>4</v>
      </c>
      <c r="T21" t="s">
        <v>136</v>
      </c>
      <c r="U21" t="s">
        <v>203</v>
      </c>
      <c r="V21" t="s">
        <v>145</v>
      </c>
      <c r="W21" t="s">
        <v>204</v>
      </c>
      <c r="X21" t="s">
        <v>187</v>
      </c>
      <c r="Y21" t="s">
        <v>195</v>
      </c>
      <c r="Z21" t="s">
        <v>157</v>
      </c>
      <c r="AA21" s="5"/>
      <c r="AB21" s="5"/>
      <c r="AC21" s="5"/>
      <c r="AD21" s="5"/>
      <c r="AE21" s="305"/>
      <c r="AF21" s="304"/>
      <c r="AG21" s="306"/>
      <c r="AH21" s="305"/>
      <c r="AI21" s="315"/>
      <c r="AJ21" s="315"/>
      <c r="AK21" s="305"/>
      <c r="AQ21" s="23"/>
      <c r="BC21" s="33"/>
    </row>
    <row r="22" spans="3:55" ht="14.25" customHeight="1">
      <c r="C22" s="63"/>
      <c r="D22" s="62"/>
      <c r="E22" s="68" t="s">
        <v>149</v>
      </c>
      <c r="F22" s="98">
        <f>T54</f>
        <v>120</v>
      </c>
      <c r="G22" s="98">
        <f t="shared" ref="G22:L22" si="25">U54</f>
        <v>30</v>
      </c>
      <c r="H22" s="98">
        <f t="shared" si="25"/>
        <v>15</v>
      </c>
      <c r="I22" s="98">
        <f t="shared" si="25"/>
        <v>0</v>
      </c>
      <c r="J22" s="98">
        <f t="shared" si="25"/>
        <v>0</v>
      </c>
      <c r="K22" s="98">
        <f t="shared" si="25"/>
        <v>0</v>
      </c>
      <c r="L22" s="98">
        <f t="shared" si="25"/>
        <v>30</v>
      </c>
      <c r="M22" s="96">
        <f>SUM(F22:L22)</f>
        <v>195</v>
      </c>
      <c r="S22" s="25" t="s">
        <v>198</v>
      </c>
      <c r="T22" s="88" t="s">
        <v>205</v>
      </c>
      <c r="U22" s="88" t="s">
        <v>206</v>
      </c>
      <c r="V22" s="88" t="s">
        <v>207</v>
      </c>
      <c r="W22" s="88" t="s">
        <v>208</v>
      </c>
      <c r="X22" s="88" t="s">
        <v>209</v>
      </c>
      <c r="Y22" s="88" t="s">
        <v>210</v>
      </c>
      <c r="Z22" s="88" t="s">
        <v>211</v>
      </c>
      <c r="AA22" s="5"/>
      <c r="AB22" s="5"/>
      <c r="AC22" s="5"/>
      <c r="AD22" s="25" t="s">
        <v>198</v>
      </c>
      <c r="AE22" s="5">
        <f>V30</f>
        <v>100</v>
      </c>
      <c r="AF22" s="5">
        <f>U30</f>
        <v>20</v>
      </c>
      <c r="AG22" s="5">
        <f>'Cost Burden'!Z30</f>
        <v>55</v>
      </c>
      <c r="AH22" s="5">
        <f>SUM(W30:Y30)</f>
        <v>60</v>
      </c>
      <c r="AI22" s="5">
        <f>SUM(U30:Z30)</f>
        <v>235</v>
      </c>
      <c r="AJ22" s="5">
        <f>T30</f>
        <v>305</v>
      </c>
      <c r="AK22" s="5">
        <f>AA30</f>
        <v>540</v>
      </c>
      <c r="AQ22" s="23"/>
      <c r="BC22" s="33"/>
    </row>
    <row r="23" spans="3:55" ht="14.25" customHeight="1" thickBot="1">
      <c r="C23" s="69"/>
      <c r="D23" s="69"/>
      <c r="E23" s="70" t="s">
        <v>212</v>
      </c>
      <c r="F23" s="99">
        <f>SUM(F15,F22)</f>
        <v>550</v>
      </c>
      <c r="G23" s="99">
        <f t="shared" ref="G23:M23" si="26">SUM(G15,G22)</f>
        <v>60</v>
      </c>
      <c r="H23" s="99">
        <f t="shared" si="26"/>
        <v>135</v>
      </c>
      <c r="I23" s="99">
        <f t="shared" si="26"/>
        <v>25</v>
      </c>
      <c r="J23" s="99">
        <f t="shared" si="26"/>
        <v>15</v>
      </c>
      <c r="K23" s="99">
        <f t="shared" si="26"/>
        <v>20</v>
      </c>
      <c r="L23" s="99">
        <f t="shared" si="26"/>
        <v>105</v>
      </c>
      <c r="M23" s="99">
        <f t="shared" si="26"/>
        <v>910</v>
      </c>
      <c r="S23" s="25" t="s">
        <v>191</v>
      </c>
      <c r="T23" s="88" t="s">
        <v>213</v>
      </c>
      <c r="U23" s="88" t="s">
        <v>214</v>
      </c>
      <c r="V23" s="88" t="s">
        <v>215</v>
      </c>
      <c r="W23" s="88" t="s">
        <v>216</v>
      </c>
      <c r="X23" s="88" t="s">
        <v>217</v>
      </c>
      <c r="Y23" s="88" t="s">
        <v>218</v>
      </c>
      <c r="Z23" s="88" t="s">
        <v>219</v>
      </c>
      <c r="AA23" s="5"/>
      <c r="AB23" s="5"/>
      <c r="AC23" s="5"/>
      <c r="AD23" s="25" t="s">
        <v>191</v>
      </c>
      <c r="AE23" s="5">
        <f t="shared" ref="AE23:AE26" si="27">V31</f>
        <v>20</v>
      </c>
      <c r="AF23" s="5">
        <f t="shared" ref="AF23:AF26" si="28">U31</f>
        <v>0</v>
      </c>
      <c r="AG23" s="5">
        <f>'Cost Burden'!Z31</f>
        <v>0</v>
      </c>
      <c r="AH23" s="5">
        <f t="shared" ref="AH23:AH26" si="29">SUM(W31:Y31)</f>
        <v>0</v>
      </c>
      <c r="AI23" s="5">
        <f t="shared" ref="AI23:AI26" si="30">SUM(U31:Z31)</f>
        <v>20</v>
      </c>
      <c r="AJ23" s="5">
        <f t="shared" ref="AJ23:AJ26" si="31">T31</f>
        <v>85</v>
      </c>
      <c r="AK23" s="5">
        <f t="shared" ref="AK23:AK25" si="32">AA31</f>
        <v>105</v>
      </c>
      <c r="BC23" s="33"/>
    </row>
    <row r="24" spans="3:55">
      <c r="S24" s="25" t="s">
        <v>190</v>
      </c>
      <c r="T24" s="88" t="s">
        <v>220</v>
      </c>
      <c r="U24" s="88" t="s">
        <v>221</v>
      </c>
      <c r="V24" s="88" t="s">
        <v>222</v>
      </c>
      <c r="W24" s="88" t="s">
        <v>223</v>
      </c>
      <c r="X24" s="88" t="s">
        <v>224</v>
      </c>
      <c r="Y24" s="88" t="s">
        <v>225</v>
      </c>
      <c r="Z24" s="88" t="s">
        <v>226</v>
      </c>
      <c r="AA24" s="5"/>
      <c r="AB24" s="5"/>
      <c r="AC24" s="5"/>
      <c r="AD24" s="25" t="s">
        <v>190</v>
      </c>
      <c r="AE24" s="5">
        <f t="shared" si="27"/>
        <v>4</v>
      </c>
      <c r="AF24" s="5">
        <f t="shared" si="28"/>
        <v>15</v>
      </c>
      <c r="AG24" s="5">
        <f>'Cost Burden'!Z32</f>
        <v>15</v>
      </c>
      <c r="AH24" s="5">
        <f t="shared" si="29"/>
        <v>0</v>
      </c>
      <c r="AI24" s="5">
        <f t="shared" si="30"/>
        <v>34</v>
      </c>
      <c r="AJ24" s="5">
        <f t="shared" si="31"/>
        <v>40</v>
      </c>
      <c r="AK24" s="5">
        <f t="shared" si="32"/>
        <v>74</v>
      </c>
      <c r="BC24" s="33"/>
    </row>
    <row r="25" spans="3:55">
      <c r="C25" s="289" t="s">
        <v>227</v>
      </c>
      <c r="D25" s="289"/>
      <c r="E25" s="289"/>
      <c r="F25" s="289"/>
      <c r="G25" s="289"/>
      <c r="H25" s="289"/>
      <c r="I25" s="289"/>
      <c r="J25" s="289"/>
      <c r="K25" s="289"/>
      <c r="S25" s="25" t="s">
        <v>193</v>
      </c>
      <c r="T25" s="88" t="s">
        <v>228</v>
      </c>
      <c r="U25" s="88" t="s">
        <v>229</v>
      </c>
      <c r="V25" s="88" t="s">
        <v>230</v>
      </c>
      <c r="W25" s="88" t="s">
        <v>231</v>
      </c>
      <c r="X25" s="88" t="s">
        <v>232</v>
      </c>
      <c r="Y25" s="88" t="s">
        <v>233</v>
      </c>
      <c r="Z25" s="88" t="s">
        <v>234</v>
      </c>
      <c r="AA25" s="5"/>
      <c r="AB25" s="5"/>
      <c r="AC25" s="5"/>
      <c r="AD25" s="25" t="s">
        <v>193</v>
      </c>
      <c r="AE25" s="5">
        <f t="shared" si="27"/>
        <v>0</v>
      </c>
      <c r="AF25" s="5">
        <f t="shared" si="28"/>
        <v>0</v>
      </c>
      <c r="AG25" s="5">
        <f>'Cost Burden'!Z33</f>
        <v>0</v>
      </c>
      <c r="AH25" s="5">
        <f t="shared" si="29"/>
        <v>0</v>
      </c>
      <c r="AI25" s="5">
        <f t="shared" si="30"/>
        <v>0</v>
      </c>
      <c r="AJ25" s="5">
        <f t="shared" si="31"/>
        <v>0</v>
      </c>
      <c r="AK25" s="5">
        <f t="shared" si="32"/>
        <v>0</v>
      </c>
      <c r="BC25" s="33"/>
    </row>
    <row r="26" spans="3:55" ht="15">
      <c r="C26" s="289"/>
      <c r="D26" s="289"/>
      <c r="E26" s="289"/>
      <c r="F26" s="289"/>
      <c r="G26" s="289"/>
      <c r="H26" s="289"/>
      <c r="I26" s="289"/>
      <c r="J26" s="289"/>
      <c r="K26" s="289"/>
      <c r="S26" s="25" t="s">
        <v>189</v>
      </c>
      <c r="T26" s="88" t="s">
        <v>235</v>
      </c>
      <c r="U26" s="88" t="s">
        <v>236</v>
      </c>
      <c r="V26" s="88" t="s">
        <v>237</v>
      </c>
      <c r="W26" s="88" t="s">
        <v>238</v>
      </c>
      <c r="X26" s="88" t="s">
        <v>239</v>
      </c>
      <c r="Y26" s="88" t="s">
        <v>240</v>
      </c>
      <c r="Z26" s="88" t="s">
        <v>241</v>
      </c>
      <c r="AA26" s="5"/>
      <c r="AB26" s="5"/>
      <c r="AC26" s="5"/>
      <c r="AD26" s="26" t="s">
        <v>149</v>
      </c>
      <c r="AE26" s="29">
        <f t="shared" si="27"/>
        <v>120</v>
      </c>
      <c r="AF26" s="29">
        <f t="shared" si="28"/>
        <v>30</v>
      </c>
      <c r="AG26" s="29">
        <f>'Cost Burden'!Z34</f>
        <v>75</v>
      </c>
      <c r="AH26" s="29">
        <f t="shared" si="29"/>
        <v>60</v>
      </c>
      <c r="AI26" s="29">
        <f t="shared" si="30"/>
        <v>285</v>
      </c>
      <c r="AJ26" s="29">
        <f t="shared" si="31"/>
        <v>430</v>
      </c>
      <c r="AK26" s="29">
        <f>SUM(AJ26,AE26:AH26)</f>
        <v>715</v>
      </c>
    </row>
    <row r="27" spans="3:55" ht="9" customHeight="1">
      <c r="AA27" s="5"/>
      <c r="AB27" s="5"/>
      <c r="AC27" s="29"/>
    </row>
    <row r="28" spans="3:55">
      <c r="AA28" s="5"/>
      <c r="AB28" s="5"/>
      <c r="AC28" s="5"/>
      <c r="AD28" s="5"/>
      <c r="AE28" s="5"/>
      <c r="AF28" s="5"/>
      <c r="AG28" s="5"/>
      <c r="AH28" s="5"/>
      <c r="AI28" s="5"/>
      <c r="AJ28" s="5"/>
      <c r="AK28" s="5"/>
    </row>
    <row r="29" spans="3:55" ht="19.5" customHeight="1">
      <c r="C29" s="292" t="str">
        <f>"Chart 4. "&amp;City_label&amp;" total housing cost burden by racial and ethnic group, 2019"</f>
        <v>Chart 4. Algona total housing cost burden by racial and ethnic group, 2019</v>
      </c>
      <c r="D29" s="292"/>
      <c r="E29" s="292"/>
      <c r="F29" s="292"/>
      <c r="G29" s="292"/>
      <c r="H29" s="292"/>
      <c r="I29" s="292"/>
      <c r="J29" s="292"/>
      <c r="K29" s="292"/>
      <c r="L29" s="292"/>
      <c r="M29" s="292"/>
      <c r="S29" s="5"/>
      <c r="T29" s="26" t="s">
        <v>136</v>
      </c>
      <c r="U29" s="26" t="s">
        <v>139</v>
      </c>
      <c r="V29" s="26" t="s">
        <v>145</v>
      </c>
      <c r="W29" s="26" t="s">
        <v>186</v>
      </c>
      <c r="X29" s="26" t="s">
        <v>187</v>
      </c>
      <c r="Y29" s="26" t="s">
        <v>151</v>
      </c>
      <c r="Z29" s="26" t="s">
        <v>157</v>
      </c>
      <c r="AA29" s="5" t="s">
        <v>189</v>
      </c>
      <c r="AB29" s="5"/>
      <c r="AC29" s="5"/>
      <c r="AD29" s="46" t="s">
        <v>242</v>
      </c>
      <c r="AE29" s="46"/>
      <c r="AF29" s="46"/>
      <c r="AG29" s="46"/>
      <c r="AH29" s="46"/>
      <c r="AI29" s="46"/>
      <c r="AJ29" s="46"/>
      <c r="AK29" s="46"/>
    </row>
    <row r="30" spans="3:55" ht="19.5" customHeight="1">
      <c r="C30" s="292"/>
      <c r="D30" s="292"/>
      <c r="E30" s="292"/>
      <c r="F30" s="292"/>
      <c r="G30" s="292"/>
      <c r="H30" s="292"/>
      <c r="I30" s="292"/>
      <c r="J30" s="292"/>
      <c r="K30" s="292"/>
      <c r="L30" s="292"/>
      <c r="M30" s="292"/>
      <c r="S30" s="25" t="s">
        <v>198</v>
      </c>
      <c r="T30" s="1">
        <v>305</v>
      </c>
      <c r="U30" s="1">
        <v>20</v>
      </c>
      <c r="V30" s="1">
        <v>100</v>
      </c>
      <c r="W30" s="1">
        <v>25</v>
      </c>
      <c r="X30" s="1">
        <v>15</v>
      </c>
      <c r="Y30" s="1">
        <v>20</v>
      </c>
      <c r="Z30" s="1">
        <v>55</v>
      </c>
      <c r="AA30" s="5">
        <f>SUM(T30:Z30)</f>
        <v>540</v>
      </c>
      <c r="AB30" s="5"/>
      <c r="AC30" s="5"/>
      <c r="AE30" s="305" t="s">
        <v>145</v>
      </c>
      <c r="AF30" s="304" t="s">
        <v>139</v>
      </c>
      <c r="AG30" s="306" t="s">
        <v>188</v>
      </c>
      <c r="AH30" s="305" t="s">
        <v>195</v>
      </c>
      <c r="AI30" s="315" t="s">
        <v>196</v>
      </c>
      <c r="AJ30" s="315" t="s">
        <v>136</v>
      </c>
      <c r="AK30" s="305" t="s">
        <v>149</v>
      </c>
    </row>
    <row r="31" spans="3:55" ht="14.25" customHeight="1">
      <c r="C31" s="5"/>
      <c r="R31" s="90"/>
      <c r="S31" s="25" t="s">
        <v>191</v>
      </c>
      <c r="T31" s="1">
        <v>85</v>
      </c>
      <c r="U31" s="1">
        <v>0</v>
      </c>
      <c r="V31" s="1">
        <v>20</v>
      </c>
      <c r="W31" s="1">
        <v>0</v>
      </c>
      <c r="X31" s="1">
        <v>0</v>
      </c>
      <c r="Y31" s="1">
        <v>0</v>
      </c>
      <c r="Z31" s="1">
        <v>0</v>
      </c>
      <c r="AA31" s="5">
        <f t="shared" ref="AA31:AA34" si="33">SUM(T31:Z31)</f>
        <v>105</v>
      </c>
      <c r="AB31" s="5"/>
      <c r="AC31" s="5"/>
      <c r="AD31" s="5"/>
      <c r="AE31" s="305"/>
      <c r="AF31" s="304"/>
      <c r="AG31" s="306"/>
      <c r="AH31" s="305"/>
      <c r="AI31" s="315"/>
      <c r="AJ31" s="315"/>
      <c r="AK31" s="305"/>
    </row>
    <row r="32" spans="3:55" ht="14.25" customHeight="1">
      <c r="C32" s="5"/>
      <c r="S32" s="25" t="s">
        <v>190</v>
      </c>
      <c r="T32" s="1">
        <v>40</v>
      </c>
      <c r="U32" s="1">
        <v>15</v>
      </c>
      <c r="V32" s="1">
        <v>4</v>
      </c>
      <c r="W32" s="1">
        <v>0</v>
      </c>
      <c r="X32" s="1">
        <v>0</v>
      </c>
      <c r="Y32" s="1">
        <v>0</v>
      </c>
      <c r="Z32" s="1">
        <v>15</v>
      </c>
      <c r="AA32" s="5">
        <f t="shared" si="33"/>
        <v>74</v>
      </c>
      <c r="AB32" s="5"/>
      <c r="AC32" s="5"/>
      <c r="AD32" s="5"/>
      <c r="AE32" s="305"/>
      <c r="AF32" s="304"/>
      <c r="AG32" s="306"/>
      <c r="AH32" s="305"/>
      <c r="AI32" s="315"/>
      <c r="AJ32" s="315"/>
      <c r="AK32" s="305"/>
    </row>
    <row r="33" spans="3:49">
      <c r="S33" s="25" t="s">
        <v>193</v>
      </c>
      <c r="T33" s="1">
        <v>0</v>
      </c>
      <c r="U33" s="1">
        <v>0</v>
      </c>
      <c r="V33" s="1">
        <v>0</v>
      </c>
      <c r="W33" s="1">
        <v>0</v>
      </c>
      <c r="X33" s="1">
        <v>0</v>
      </c>
      <c r="Y33" s="1">
        <v>0</v>
      </c>
      <c r="Z33" s="1">
        <v>0</v>
      </c>
      <c r="AA33" s="5">
        <f t="shared" si="33"/>
        <v>0</v>
      </c>
      <c r="AB33" s="5"/>
      <c r="AC33" s="5"/>
      <c r="AD33" s="25" t="s">
        <v>198</v>
      </c>
      <c r="AE33" s="5">
        <f>V50</f>
        <v>4</v>
      </c>
      <c r="AF33" s="5">
        <f>U50</f>
        <v>4</v>
      </c>
      <c r="AG33" s="5">
        <f>'Cost Burden'!Z50</f>
        <v>25</v>
      </c>
      <c r="AH33" s="5">
        <f>SUM(W50:Y50)</f>
        <v>0</v>
      </c>
      <c r="AI33" s="5">
        <f>SUM(U50:Z50)</f>
        <v>33</v>
      </c>
      <c r="AJ33" s="5">
        <f>T50</f>
        <v>70</v>
      </c>
      <c r="AK33" s="5">
        <f t="shared" ref="AK33" si="34">SUM(AJ33,AE33:AH33)</f>
        <v>103</v>
      </c>
    </row>
    <row r="34" spans="3:49" ht="15">
      <c r="S34" s="25" t="s">
        <v>189</v>
      </c>
      <c r="T34" s="1">
        <v>430</v>
      </c>
      <c r="U34" s="1">
        <v>30</v>
      </c>
      <c r="V34" s="1">
        <v>120</v>
      </c>
      <c r="W34" s="1">
        <v>25</v>
      </c>
      <c r="X34" s="1">
        <v>15</v>
      </c>
      <c r="Y34" s="1">
        <v>20</v>
      </c>
      <c r="Z34" s="1">
        <v>75</v>
      </c>
      <c r="AA34" s="29">
        <f t="shared" si="33"/>
        <v>715</v>
      </c>
      <c r="AB34" s="5"/>
      <c r="AC34" s="5"/>
      <c r="AD34" s="25" t="s">
        <v>191</v>
      </c>
      <c r="AE34" s="5">
        <f t="shared" ref="AE34:AE37" si="35">V51</f>
        <v>10</v>
      </c>
      <c r="AF34" s="5">
        <f t="shared" ref="AF34:AF37" si="36">U51</f>
        <v>25</v>
      </c>
      <c r="AG34" s="5">
        <f>'Cost Burden'!Z51</f>
        <v>4</v>
      </c>
      <c r="AH34" s="5">
        <f t="shared" ref="AH34:AH37" si="37">SUM(W51:Y51)</f>
        <v>0</v>
      </c>
      <c r="AI34" s="5">
        <f t="shared" ref="AI34:AI37" si="38">SUM(U51:Z51)</f>
        <v>39</v>
      </c>
      <c r="AJ34" s="5">
        <f t="shared" ref="AJ34:AJ37" si="39">T51</f>
        <v>30</v>
      </c>
      <c r="AK34" s="5">
        <f t="shared" ref="AK34:AK37" si="40">SUM(AJ34,AE34:AH34)</f>
        <v>69</v>
      </c>
    </row>
    <row r="35" spans="3:49" ht="15">
      <c r="C35" s="31"/>
      <c r="AA35" s="5"/>
      <c r="AB35" s="5"/>
      <c r="AC35" s="5"/>
      <c r="AD35" s="25" t="s">
        <v>190</v>
      </c>
      <c r="AE35" s="5">
        <f t="shared" si="35"/>
        <v>4</v>
      </c>
      <c r="AF35" s="5">
        <f t="shared" si="36"/>
        <v>0</v>
      </c>
      <c r="AG35" s="5">
        <f>'Cost Burden'!Z52</f>
        <v>0</v>
      </c>
      <c r="AH35" s="5">
        <f t="shared" si="37"/>
        <v>0</v>
      </c>
      <c r="AI35" s="5">
        <f t="shared" si="38"/>
        <v>4</v>
      </c>
      <c r="AJ35" s="5">
        <f t="shared" si="39"/>
        <v>10</v>
      </c>
      <c r="AK35" s="5">
        <f t="shared" si="40"/>
        <v>14</v>
      </c>
    </row>
    <row r="36" spans="3:49">
      <c r="S36" s="105" t="s">
        <v>201</v>
      </c>
      <c r="T36" s="105">
        <f>SUM(T31:T32)</f>
        <v>125</v>
      </c>
      <c r="U36" s="105">
        <f t="shared" ref="U36:Z36" si="41">SUM(U31:U32)</f>
        <v>15</v>
      </c>
      <c r="V36" s="105">
        <f t="shared" si="41"/>
        <v>24</v>
      </c>
      <c r="W36" s="105">
        <f t="shared" si="41"/>
        <v>0</v>
      </c>
      <c r="X36" s="105">
        <f t="shared" si="41"/>
        <v>0</v>
      </c>
      <c r="Y36" s="105">
        <f t="shared" si="41"/>
        <v>0</v>
      </c>
      <c r="Z36" s="105">
        <f t="shared" si="41"/>
        <v>15</v>
      </c>
      <c r="AA36" s="5"/>
      <c r="AB36" s="5"/>
      <c r="AC36" s="5"/>
      <c r="AD36" s="25" t="s">
        <v>193</v>
      </c>
      <c r="AE36" s="5">
        <f t="shared" si="35"/>
        <v>0</v>
      </c>
      <c r="AF36" s="5">
        <f t="shared" si="36"/>
        <v>0</v>
      </c>
      <c r="AG36" s="5">
        <f>'Cost Burden'!Z53</f>
        <v>0</v>
      </c>
      <c r="AH36" s="5">
        <f t="shared" si="37"/>
        <v>0</v>
      </c>
      <c r="AI36" s="5">
        <f t="shared" si="38"/>
        <v>0</v>
      </c>
      <c r="AJ36" s="5">
        <f t="shared" si="39"/>
        <v>4</v>
      </c>
      <c r="AK36" s="5">
        <f t="shared" si="40"/>
        <v>4</v>
      </c>
    </row>
    <row r="37" spans="3:49" ht="15">
      <c r="S37" s="105"/>
      <c r="T37" s="49"/>
      <c r="U37" s="49"/>
      <c r="V37" s="49"/>
      <c r="W37" s="49"/>
      <c r="X37" s="49"/>
      <c r="Y37" s="49"/>
      <c r="Z37" s="49"/>
      <c r="AA37" s="5"/>
      <c r="AB37" s="5"/>
      <c r="AC37" s="5"/>
      <c r="AD37" s="26" t="s">
        <v>149</v>
      </c>
      <c r="AE37" s="29">
        <f t="shared" si="35"/>
        <v>15</v>
      </c>
      <c r="AF37" s="29">
        <f t="shared" si="36"/>
        <v>30</v>
      </c>
      <c r="AG37" s="29">
        <f>'Cost Burden'!Z54</f>
        <v>30</v>
      </c>
      <c r="AH37" s="29">
        <f t="shared" si="37"/>
        <v>0</v>
      </c>
      <c r="AI37" s="29">
        <f t="shared" si="38"/>
        <v>75</v>
      </c>
      <c r="AJ37" s="29">
        <f t="shared" si="39"/>
        <v>120</v>
      </c>
      <c r="AK37" s="29">
        <f t="shared" si="40"/>
        <v>195</v>
      </c>
    </row>
    <row r="38" spans="3:49" ht="15">
      <c r="S38" s="46" t="s">
        <v>242</v>
      </c>
      <c r="T38" s="47"/>
      <c r="U38" s="47"/>
      <c r="V38" s="47"/>
      <c r="W38" s="47"/>
      <c r="X38" s="47"/>
      <c r="Y38" s="47"/>
      <c r="Z38" s="47"/>
      <c r="AA38" s="5"/>
      <c r="AB38" s="5"/>
      <c r="AC38" s="29"/>
    </row>
    <row r="39" spans="3:49">
      <c r="AD39" s="105" t="s">
        <v>201</v>
      </c>
      <c r="AE39" s="105">
        <f>V56</f>
        <v>14</v>
      </c>
      <c r="AF39" s="105">
        <f>U56</f>
        <v>25</v>
      </c>
      <c r="AG39" s="105">
        <f>'Cost Burden'!Z56</f>
        <v>4</v>
      </c>
      <c r="AH39" s="105">
        <f>SUM(W56:Y56)</f>
        <v>0</v>
      </c>
      <c r="AI39" s="105">
        <f>SUM(U56:Z56)</f>
        <v>43</v>
      </c>
      <c r="AJ39" s="105">
        <f>T56</f>
        <v>40</v>
      </c>
      <c r="AK39" s="105">
        <f>SUM(AJ39,AE39:AH39)</f>
        <v>83</v>
      </c>
    </row>
    <row r="40" spans="3:49">
      <c r="T40" s="49" t="s">
        <v>80</v>
      </c>
      <c r="U40" s="49" t="s">
        <v>80</v>
      </c>
      <c r="V40" s="49" t="s">
        <v>80</v>
      </c>
      <c r="W40" s="49" t="s">
        <v>80</v>
      </c>
      <c r="X40" s="49" t="s">
        <v>80</v>
      </c>
      <c r="Y40" s="49" t="s">
        <v>80</v>
      </c>
      <c r="Z40" s="49" t="s">
        <v>80</v>
      </c>
      <c r="AE40" s="6">
        <f>AJ39/AJ37</f>
        <v>0.33333333333333331</v>
      </c>
      <c r="AF40" s="6">
        <f>AI39/AI37</f>
        <v>0.57333333333333336</v>
      </c>
      <c r="AG40" s="6">
        <f>AE39/AE37</f>
        <v>0.93333333333333335</v>
      </c>
      <c r="AH40" s="6">
        <f>AF39/AF37</f>
        <v>0.83333333333333337</v>
      </c>
      <c r="AI40" s="6" t="e">
        <f>AH39/AH37</f>
        <v>#DIV/0!</v>
      </c>
      <c r="AJ40" s="6">
        <f>AG39/AG37</f>
        <v>0.13333333333333333</v>
      </c>
      <c r="AK40" s="6">
        <f>AK39/AK37</f>
        <v>0.42564102564102563</v>
      </c>
    </row>
    <row r="41" spans="3:49">
      <c r="T41" t="s">
        <v>136</v>
      </c>
      <c r="U41" t="s">
        <v>203</v>
      </c>
      <c r="V41" t="s">
        <v>145</v>
      </c>
      <c r="W41" t="s">
        <v>204</v>
      </c>
      <c r="X41" t="s">
        <v>187</v>
      </c>
      <c r="Y41" t="s">
        <v>195</v>
      </c>
      <c r="Z41" t="s">
        <v>157</v>
      </c>
      <c r="AK41" s="23"/>
    </row>
    <row r="42" spans="3:49" ht="15">
      <c r="S42" s="25" t="s">
        <v>198</v>
      </c>
      <c r="T42" s="88" t="s">
        <v>243</v>
      </c>
      <c r="U42" s="88" t="s">
        <v>244</v>
      </c>
      <c r="V42" s="88" t="s">
        <v>245</v>
      </c>
      <c r="W42" s="88" t="s">
        <v>246</v>
      </c>
      <c r="X42" s="88" t="s">
        <v>247</v>
      </c>
      <c r="Y42" s="88" t="s">
        <v>248</v>
      </c>
      <c r="Z42" s="88" t="s">
        <v>249</v>
      </c>
      <c r="AD42" s="153" t="s">
        <v>250</v>
      </c>
      <c r="AK42" s="23"/>
    </row>
    <row r="43" spans="3:49">
      <c r="S43" s="25" t="s">
        <v>191</v>
      </c>
      <c r="T43" s="88" t="s">
        <v>251</v>
      </c>
      <c r="U43" s="88" t="s">
        <v>252</v>
      </c>
      <c r="V43" s="88" t="s">
        <v>253</v>
      </c>
      <c r="W43" s="88" t="s">
        <v>254</v>
      </c>
      <c r="X43" s="88" t="s">
        <v>255</v>
      </c>
      <c r="Y43" s="88" t="s">
        <v>256</v>
      </c>
      <c r="Z43" s="88" t="s">
        <v>257</v>
      </c>
      <c r="AD43" s="23"/>
      <c r="AE43" s="305" t="s">
        <v>145</v>
      </c>
      <c r="AF43" s="304" t="s">
        <v>139</v>
      </c>
      <c r="AG43" s="306" t="s">
        <v>188</v>
      </c>
      <c r="AH43" s="305" t="s">
        <v>195</v>
      </c>
      <c r="AI43" s="315"/>
      <c r="AJ43" s="315" t="s">
        <v>196</v>
      </c>
      <c r="AK43" s="305" t="s">
        <v>136</v>
      </c>
      <c r="AW43" s="23"/>
    </row>
    <row r="44" spans="3:49">
      <c r="S44" s="25" t="s">
        <v>190</v>
      </c>
      <c r="T44" s="88" t="s">
        <v>258</v>
      </c>
      <c r="U44" s="88" t="s">
        <v>259</v>
      </c>
      <c r="V44" s="88" t="s">
        <v>260</v>
      </c>
      <c r="W44" s="88" t="s">
        <v>261</v>
      </c>
      <c r="X44" s="88" t="s">
        <v>262</v>
      </c>
      <c r="Y44" s="88" t="s">
        <v>263</v>
      </c>
      <c r="Z44" s="88" t="s">
        <v>264</v>
      </c>
      <c r="AE44" s="305"/>
      <c r="AF44" s="304"/>
      <c r="AG44" s="306"/>
      <c r="AH44" s="305"/>
      <c r="AI44" s="315"/>
      <c r="AJ44" s="315"/>
      <c r="AK44" s="305"/>
    </row>
    <row r="45" spans="3:49">
      <c r="S45" s="25" t="s">
        <v>193</v>
      </c>
      <c r="T45" s="88" t="s">
        <v>265</v>
      </c>
      <c r="U45" s="88" t="s">
        <v>266</v>
      </c>
      <c r="V45" s="88" t="s">
        <v>267</v>
      </c>
      <c r="W45" s="88" t="s">
        <v>268</v>
      </c>
      <c r="X45" s="88" t="s">
        <v>269</v>
      </c>
      <c r="Y45" s="88" t="s">
        <v>270</v>
      </c>
      <c r="Z45" s="88" t="s">
        <v>271</v>
      </c>
      <c r="AE45" s="305"/>
      <c r="AF45" s="304"/>
      <c r="AG45" s="306"/>
      <c r="AH45" s="305"/>
      <c r="AI45" s="315"/>
      <c r="AJ45" s="315"/>
      <c r="AK45" s="305"/>
    </row>
    <row r="46" spans="3:49" ht="15">
      <c r="S46" s="25" t="s">
        <v>189</v>
      </c>
      <c r="T46" s="88" t="s">
        <v>272</v>
      </c>
      <c r="U46" s="88" t="s">
        <v>273</v>
      </c>
      <c r="V46" s="88" t="s">
        <v>274</v>
      </c>
      <c r="W46" s="88" t="s">
        <v>275</v>
      </c>
      <c r="X46" s="88" t="s">
        <v>276</v>
      </c>
      <c r="Y46" s="88" t="s">
        <v>277</v>
      </c>
      <c r="Z46" s="88" t="s">
        <v>278</v>
      </c>
      <c r="AD46" s="46" t="s">
        <v>279</v>
      </c>
      <c r="AE46" s="46"/>
      <c r="AF46" s="46"/>
      <c r="AG46" s="46"/>
      <c r="AH46" s="46"/>
      <c r="AJ46" s="46"/>
      <c r="AK46" s="46"/>
    </row>
    <row r="47" spans="3:49">
      <c r="AD47" s="23" t="s">
        <v>201</v>
      </c>
      <c r="AE47" s="36">
        <f>IFERROR(IF(SUM(AE51:AE52)&gt;0, SUM(AE51:AE52), "0"), "0")</f>
        <v>0.26760563380281688</v>
      </c>
      <c r="AF47" s="36">
        <f t="shared" ref="AF47:AK47" si="42">IFERROR(IF(SUM(AF51:AF52)&gt;0, SUM(AF51:AF52), "0"), "0")</f>
        <v>0.625</v>
      </c>
      <c r="AG47" s="36">
        <f t="shared" si="42"/>
        <v>0.19191919191919193</v>
      </c>
      <c r="AH47" s="36" t="str">
        <f t="shared" si="42"/>
        <v>0</v>
      </c>
      <c r="AJ47" s="36">
        <f t="shared" si="42"/>
        <v>0.26575342465753427</v>
      </c>
      <c r="AK47" s="36">
        <f t="shared" si="42"/>
        <v>0.3033088235294118</v>
      </c>
    </row>
    <row r="48" spans="3:49" ht="14.25" customHeight="1">
      <c r="AC48" s="23"/>
      <c r="AD48" s="23" t="s">
        <v>280</v>
      </c>
      <c r="AE48" s="36">
        <f>1-AE47</f>
        <v>0.73239436619718312</v>
      </c>
      <c r="AF48" s="36">
        <f>1-AF47</f>
        <v>0.375</v>
      </c>
      <c r="AG48" s="36">
        <f>1-AG47</f>
        <v>0.80808080808080807</v>
      </c>
      <c r="AH48" s="36">
        <f>1-AH47</f>
        <v>1</v>
      </c>
      <c r="AJ48" s="36">
        <f>1-AJ47</f>
        <v>0.73424657534246573</v>
      </c>
      <c r="AK48" s="36">
        <f>1-AK47</f>
        <v>0.6966911764705882</v>
      </c>
      <c r="AL48" s="23"/>
      <c r="AM48" s="23"/>
      <c r="AN48" s="23"/>
    </row>
    <row r="49" spans="3:48" ht="14.25" customHeight="1">
      <c r="S49" s="5"/>
      <c r="T49" s="26" t="s">
        <v>136</v>
      </c>
      <c r="U49" s="26" t="s">
        <v>139</v>
      </c>
      <c r="V49" s="26" t="s">
        <v>145</v>
      </c>
      <c r="W49" s="26" t="s">
        <v>186</v>
      </c>
      <c r="X49" s="26" t="s">
        <v>187</v>
      </c>
      <c r="Y49" s="26" t="s">
        <v>151</v>
      </c>
      <c r="Z49" s="26" t="s">
        <v>157</v>
      </c>
      <c r="AA49" s="26" t="s">
        <v>189</v>
      </c>
      <c r="AC49" s="23"/>
      <c r="AD49" s="23" t="s">
        <v>193</v>
      </c>
      <c r="AE49" s="36" t="str">
        <f>IF((AE13/AE14)=0, "",AE13/AE14)</f>
        <v/>
      </c>
      <c r="AF49" s="36" t="str">
        <f t="shared" ref="AF49:AH49" si="43">IF((AF13/AF14)=0, "",AF13/AF14)</f>
        <v/>
      </c>
      <c r="AG49" s="36" t="str">
        <f t="shared" si="43"/>
        <v/>
      </c>
      <c r="AH49" s="36" t="str">
        <f t="shared" si="43"/>
        <v/>
      </c>
      <c r="AJ49" s="36" t="str">
        <f>IF((AI13/AI14)=0, "",(AI13/AI14))</f>
        <v/>
      </c>
      <c r="AK49" s="36">
        <f>IF((AJ13/AJ14)=0, "",(AJ13/AJ14))</f>
        <v>7.3529411764705881E-3</v>
      </c>
      <c r="AL49" s="23"/>
      <c r="AM49" s="23"/>
      <c r="AN49" s="23"/>
    </row>
    <row r="50" spans="3:48" ht="15">
      <c r="C50" s="314" t="s">
        <v>227</v>
      </c>
      <c r="D50" s="314"/>
      <c r="E50" s="314"/>
      <c r="F50" s="314"/>
      <c r="G50" s="314"/>
      <c r="H50" s="314"/>
      <c r="I50" s="314"/>
      <c r="J50" s="314"/>
      <c r="K50" s="314"/>
      <c r="S50" s="25" t="s">
        <v>198</v>
      </c>
      <c r="T50" s="1">
        <v>70</v>
      </c>
      <c r="U50" s="1">
        <v>4</v>
      </c>
      <c r="V50" s="1">
        <v>4</v>
      </c>
      <c r="W50" s="1">
        <v>0</v>
      </c>
      <c r="X50" s="1">
        <v>0</v>
      </c>
      <c r="Y50" s="1">
        <v>0</v>
      </c>
      <c r="Z50" s="1">
        <v>25</v>
      </c>
      <c r="AA50" s="5">
        <f>SUM(T50:Z50)</f>
        <v>103</v>
      </c>
      <c r="AB50" s="48"/>
      <c r="AC50" s="23"/>
      <c r="AD50" s="23" t="s">
        <v>198</v>
      </c>
      <c r="AE50" s="36">
        <f>AE10/AE14</f>
        <v>0.73239436619718312</v>
      </c>
      <c r="AF50" s="36">
        <f t="shared" ref="AF50:AH50" si="44">AF10/AF14</f>
        <v>0.375</v>
      </c>
      <c r="AG50" s="36">
        <f t="shared" si="44"/>
        <v>0.80808080808080807</v>
      </c>
      <c r="AH50" s="36">
        <f t="shared" si="44"/>
        <v>1</v>
      </c>
      <c r="AJ50" s="36">
        <f>AI10/AI14</f>
        <v>0.73424657534246573</v>
      </c>
      <c r="AK50" s="36">
        <f>AJ10/AJ14</f>
        <v>0.68933823529411764</v>
      </c>
      <c r="AL50" s="23"/>
      <c r="AM50" s="23"/>
      <c r="AN50" s="23"/>
      <c r="AO50" s="23"/>
    </row>
    <row r="51" spans="3:48" ht="14.25" customHeight="1">
      <c r="C51" s="314"/>
      <c r="D51" s="314"/>
      <c r="E51" s="314"/>
      <c r="F51" s="314"/>
      <c r="G51" s="314"/>
      <c r="H51" s="314"/>
      <c r="I51" s="314"/>
      <c r="J51" s="314"/>
      <c r="K51" s="314"/>
      <c r="S51" s="25" t="s">
        <v>191</v>
      </c>
      <c r="T51" s="1">
        <v>30</v>
      </c>
      <c r="U51" s="1">
        <v>25</v>
      </c>
      <c r="V51" s="1">
        <v>10</v>
      </c>
      <c r="W51" s="1">
        <v>0</v>
      </c>
      <c r="X51" s="1">
        <v>0</v>
      </c>
      <c r="Y51" s="1">
        <v>0</v>
      </c>
      <c r="Z51" s="1">
        <v>4</v>
      </c>
      <c r="AA51" s="5">
        <f t="shared" ref="AA51:AA54" si="45">SUM(T51:Z51)</f>
        <v>69</v>
      </c>
      <c r="AB51" s="48"/>
      <c r="AD51" s="23" t="s">
        <v>191</v>
      </c>
      <c r="AE51" s="36">
        <f>AE11/AE14</f>
        <v>0.21126760563380281</v>
      </c>
      <c r="AF51" s="36">
        <f t="shared" ref="AF51:AH51" si="46">AF11/AF14</f>
        <v>0.390625</v>
      </c>
      <c r="AG51" s="36">
        <f t="shared" si="46"/>
        <v>4.0404040404040407E-2</v>
      </c>
      <c r="AH51" s="36">
        <f t="shared" si="46"/>
        <v>0</v>
      </c>
      <c r="AJ51" s="36">
        <f>AI11/AI14</f>
        <v>0.16164383561643836</v>
      </c>
      <c r="AK51" s="36">
        <f>AJ11/AJ14</f>
        <v>0.21139705882352941</v>
      </c>
      <c r="AL51" s="23"/>
      <c r="AM51" s="23"/>
      <c r="AN51" s="23"/>
      <c r="AO51" s="23"/>
    </row>
    <row r="52" spans="3:48">
      <c r="S52" s="25" t="s">
        <v>190</v>
      </c>
      <c r="T52" s="1">
        <v>10</v>
      </c>
      <c r="U52" s="1">
        <v>0</v>
      </c>
      <c r="V52" s="1">
        <v>4</v>
      </c>
      <c r="W52" s="1">
        <v>0</v>
      </c>
      <c r="X52" s="1">
        <v>0</v>
      </c>
      <c r="Y52" s="1">
        <v>0</v>
      </c>
      <c r="Z52" s="1">
        <v>0</v>
      </c>
      <c r="AA52" s="5">
        <f t="shared" si="45"/>
        <v>14</v>
      </c>
      <c r="AD52" s="23" t="s">
        <v>190</v>
      </c>
      <c r="AE52" s="36">
        <f>AE12/AE14</f>
        <v>5.6338028169014086E-2</v>
      </c>
      <c r="AF52" s="36">
        <f t="shared" ref="AF52:AH52" si="47">AF12/AF14</f>
        <v>0.234375</v>
      </c>
      <c r="AG52" s="36">
        <f t="shared" si="47"/>
        <v>0.15151515151515152</v>
      </c>
      <c r="AH52" s="36">
        <f t="shared" si="47"/>
        <v>0</v>
      </c>
      <c r="AJ52" s="36">
        <f>AI12/AI14</f>
        <v>0.10410958904109589</v>
      </c>
      <c r="AK52" s="36">
        <f>AJ12/AJ14</f>
        <v>9.1911764705882359E-2</v>
      </c>
      <c r="AL52" s="23"/>
      <c r="AM52" s="23"/>
      <c r="AN52" s="23"/>
      <c r="AO52" s="23"/>
    </row>
    <row r="53" spans="3:48" ht="18" customHeight="1">
      <c r="C53" s="292" t="str">
        <f>"Chart 4a. "&amp;City_label&amp;" total housing cost burden by racial and ethnic group, 2019"</f>
        <v>Chart 4a. Algona total housing cost burden by racial and ethnic group, 2019</v>
      </c>
      <c r="D53" s="292"/>
      <c r="E53" s="292"/>
      <c r="F53" s="292"/>
      <c r="G53" s="292"/>
      <c r="H53" s="292"/>
      <c r="I53" s="292"/>
      <c r="J53" s="292"/>
      <c r="K53" s="292"/>
      <c r="L53" s="292"/>
      <c r="M53" s="292"/>
      <c r="S53" s="25" t="s">
        <v>193</v>
      </c>
      <c r="T53" s="1">
        <v>4</v>
      </c>
      <c r="U53" s="1">
        <v>0</v>
      </c>
      <c r="V53" s="1">
        <v>0</v>
      </c>
      <c r="W53" s="1">
        <v>0</v>
      </c>
      <c r="X53" s="1">
        <v>0</v>
      </c>
      <c r="Y53" s="1">
        <v>0</v>
      </c>
      <c r="Z53" s="1">
        <v>0</v>
      </c>
      <c r="AA53" s="5">
        <f t="shared" si="45"/>
        <v>4</v>
      </c>
      <c r="AD53" s="24"/>
      <c r="AE53" s="26"/>
      <c r="AF53" s="26"/>
      <c r="AG53" s="26"/>
      <c r="AH53" s="26"/>
      <c r="AJ53" s="26"/>
      <c r="AK53" s="26"/>
      <c r="AL53" s="23"/>
      <c r="AM53" s="23"/>
      <c r="AN53" s="23"/>
      <c r="AO53" s="23"/>
    </row>
    <row r="54" spans="3:48" ht="15">
      <c r="C54" s="292"/>
      <c r="D54" s="292"/>
      <c r="E54" s="292"/>
      <c r="F54" s="292"/>
      <c r="G54" s="292"/>
      <c r="H54" s="292"/>
      <c r="I54" s="292"/>
      <c r="J54" s="292"/>
      <c r="K54" s="292"/>
      <c r="L54" s="292"/>
      <c r="M54" s="292"/>
      <c r="S54" s="25" t="s">
        <v>189</v>
      </c>
      <c r="T54" s="1">
        <v>120</v>
      </c>
      <c r="U54" s="1">
        <v>30</v>
      </c>
      <c r="V54" s="1">
        <v>15</v>
      </c>
      <c r="W54" s="1">
        <v>0</v>
      </c>
      <c r="X54" s="1">
        <v>0</v>
      </c>
      <c r="Y54" s="1">
        <v>0</v>
      </c>
      <c r="Z54" s="1">
        <v>30</v>
      </c>
      <c r="AA54" s="29">
        <f t="shared" si="45"/>
        <v>195</v>
      </c>
      <c r="AD54" s="51" t="s">
        <v>10</v>
      </c>
      <c r="AE54" s="23" t="str">
        <f>"Total Cost Burdened: "&amp;TEXT(AE47,"0%")</f>
        <v>Total Cost Burdened: 27%</v>
      </c>
      <c r="AF54" s="23" t="str">
        <f>"Total Cost Burdened: "&amp;TEXT(AF47,"0%")</f>
        <v>Total Cost Burdened: 63%</v>
      </c>
      <c r="AG54" s="23" t="str">
        <f>"Total Cost Burdened: "&amp;TEXT(AG47,"0%")</f>
        <v>Total Cost Burdened: 19%</v>
      </c>
      <c r="AH54" s="23" t="str">
        <f>"Total Cost Burdened: "&amp;TEXT(AH47,"0%")</f>
        <v>Total Cost Burdened: 0%</v>
      </c>
      <c r="AJ54" s="23" t="str">
        <f>"Total Cost Burdened: "&amp;TEXT(AJ47,"0%")</f>
        <v>Total Cost Burdened: 27%</v>
      </c>
      <c r="AK54" s="23" t="str">
        <f>"Total Cost Burdened: "&amp;TEXT(AK47,"0%")</f>
        <v>Total Cost Burdened: 30%</v>
      </c>
      <c r="AL54" s="23"/>
      <c r="AM54" s="23"/>
      <c r="AN54" s="23"/>
      <c r="AO54" s="23"/>
    </row>
    <row r="55" spans="3:48" ht="15">
      <c r="AD55" s="46" t="s">
        <v>202</v>
      </c>
      <c r="AE55" s="46"/>
      <c r="AF55" s="46"/>
      <c r="AG55" s="46"/>
      <c r="AH55" s="46"/>
      <c r="AJ55" s="46"/>
      <c r="AK55" s="46"/>
      <c r="AL55" s="23"/>
      <c r="AM55" s="23"/>
      <c r="AN55" s="23"/>
      <c r="AO55" s="23"/>
    </row>
    <row r="56" spans="3:48" ht="18" customHeight="1">
      <c r="S56" s="105" t="s">
        <v>201</v>
      </c>
      <c r="T56" s="105">
        <f t="shared" ref="T56:Z56" si="48">SUM(T51:T52)</f>
        <v>40</v>
      </c>
      <c r="U56" s="49">
        <f t="shared" si="48"/>
        <v>25</v>
      </c>
      <c r="V56" s="49">
        <f t="shared" si="48"/>
        <v>14</v>
      </c>
      <c r="W56" s="49">
        <f t="shared" si="48"/>
        <v>0</v>
      </c>
      <c r="X56" s="49">
        <f t="shared" si="48"/>
        <v>0</v>
      </c>
      <c r="Y56" s="49">
        <f t="shared" si="48"/>
        <v>0</v>
      </c>
      <c r="Z56" s="49">
        <f t="shared" si="48"/>
        <v>4</v>
      </c>
      <c r="AD56" s="23" t="s">
        <v>201</v>
      </c>
      <c r="AE56" s="259">
        <f>IFERROR(IF(SUM(AE60:AE61)&gt;0, SUM(AE60:AE61), "0%"), "0%")</f>
        <v>0.19999999999999998</v>
      </c>
      <c r="AF56" s="259">
        <f t="shared" ref="AF56:AH56" si="49">IFERROR(IF(SUM(AF60:AF61)&gt;0, SUM(AF60:AF61), "0%"), "0%")</f>
        <v>0.5</v>
      </c>
      <c r="AG56" s="259">
        <f t="shared" si="49"/>
        <v>0.2</v>
      </c>
      <c r="AH56" s="259" t="str">
        <f t="shared" si="49"/>
        <v>0%</v>
      </c>
      <c r="AI56" s="36"/>
      <c r="AJ56" s="36">
        <f t="shared" ref="AJ56:AK56" si="50">IFERROR(IF(SUM(AJ60:AJ61)&gt;0, SUM(AJ60:AJ61), "0"), "0")</f>
        <v>0.18947368421052629</v>
      </c>
      <c r="AK56" s="36">
        <f t="shared" si="50"/>
        <v>0.29069767441860461</v>
      </c>
      <c r="AL56" s="23"/>
      <c r="AM56" s="23"/>
      <c r="AN56" s="23"/>
      <c r="AO56" s="23"/>
    </row>
    <row r="57" spans="3:48" ht="14.25" customHeight="1">
      <c r="AD57" s="23" t="s">
        <v>280</v>
      </c>
      <c r="AE57" s="36">
        <f>1-AE56</f>
        <v>0.8</v>
      </c>
      <c r="AF57" s="36">
        <f>1-AF56</f>
        <v>0.5</v>
      </c>
      <c r="AG57" s="36">
        <f>1-AG56</f>
        <v>0.8</v>
      </c>
      <c r="AH57" s="36">
        <f>1-AH56</f>
        <v>1</v>
      </c>
      <c r="AJ57" s="36">
        <f>1-AJ56</f>
        <v>0.81052631578947376</v>
      </c>
      <c r="AK57" s="36">
        <f>1-AK56</f>
        <v>0.70930232558139539</v>
      </c>
      <c r="AL57" s="23"/>
      <c r="AM57" s="23"/>
      <c r="AN57" s="23"/>
      <c r="AO57" s="23"/>
      <c r="AS57" s="23"/>
      <c r="AT57" s="23"/>
      <c r="AU57" s="23"/>
      <c r="AV57" s="23"/>
    </row>
    <row r="58" spans="3:48" ht="14.25" customHeight="1">
      <c r="AD58" s="23" t="s">
        <v>193</v>
      </c>
      <c r="AE58" s="36" t="str">
        <f>IF((AE25/AE26)&gt;0,(AE25/AE26),"")</f>
        <v/>
      </c>
      <c r="AF58" s="36" t="str">
        <f t="shared" ref="AF58:AH58" si="51">IF((AF25/AF26)&gt;0,(AF25/AF26),"")</f>
        <v/>
      </c>
      <c r="AG58" s="36" t="str">
        <f t="shared" si="51"/>
        <v/>
      </c>
      <c r="AH58" s="36" t="str">
        <f t="shared" si="51"/>
        <v/>
      </c>
      <c r="AJ58" s="36" t="str">
        <f>IF((AI25/AI26)&gt;0,(AI25/AI26),"")</f>
        <v/>
      </c>
      <c r="AK58" s="36" t="str">
        <f>IF((AJ25/AJ26)&gt;0,(AJ25/AJ26),"")</f>
        <v/>
      </c>
      <c r="AL58" s="23"/>
      <c r="AM58" s="23"/>
      <c r="AN58" s="23"/>
      <c r="AO58" s="23"/>
      <c r="AR58" s="23"/>
      <c r="AS58" s="23"/>
      <c r="AT58" s="23"/>
      <c r="AU58" s="23"/>
      <c r="AV58" s="23"/>
    </row>
    <row r="59" spans="3:48">
      <c r="AD59" s="23" t="s">
        <v>198</v>
      </c>
      <c r="AE59" s="36">
        <f>AE22/AE26</f>
        <v>0.83333333333333337</v>
      </c>
      <c r="AF59" s="36">
        <f t="shared" ref="AF59:AH59" si="52">AF22/AF26</f>
        <v>0.66666666666666663</v>
      </c>
      <c r="AG59" s="36">
        <f t="shared" si="52"/>
        <v>0.73333333333333328</v>
      </c>
      <c r="AH59" s="36">
        <f t="shared" si="52"/>
        <v>1</v>
      </c>
      <c r="AJ59" s="36">
        <f>AI22/AI26</f>
        <v>0.82456140350877194</v>
      </c>
      <c r="AK59" s="36">
        <f>AJ22/AJ26</f>
        <v>0.70930232558139539</v>
      </c>
      <c r="AL59" s="23"/>
      <c r="AM59" s="23"/>
      <c r="AN59" s="23"/>
      <c r="AO59" s="23"/>
      <c r="AQ59" s="23"/>
      <c r="AR59" s="23"/>
      <c r="AS59" s="23"/>
      <c r="AT59" s="23"/>
      <c r="AU59" s="23"/>
      <c r="AV59" s="23"/>
    </row>
    <row r="60" spans="3:48">
      <c r="AD60" s="23" t="s">
        <v>191</v>
      </c>
      <c r="AE60" s="36">
        <f>AE23/AE26</f>
        <v>0.16666666666666666</v>
      </c>
      <c r="AF60" s="36">
        <f t="shared" ref="AF60:AH60" si="53">AF23/AF26</f>
        <v>0</v>
      </c>
      <c r="AG60" s="36">
        <f t="shared" si="53"/>
        <v>0</v>
      </c>
      <c r="AH60" s="36">
        <f t="shared" si="53"/>
        <v>0</v>
      </c>
      <c r="AJ60" s="36">
        <f>AI23/AI26</f>
        <v>7.0175438596491224E-2</v>
      </c>
      <c r="AK60" s="36">
        <f>AJ23/AJ26</f>
        <v>0.19767441860465115</v>
      </c>
      <c r="AL60" s="23"/>
      <c r="AM60" s="23"/>
      <c r="AN60" s="23"/>
      <c r="AO60" s="23"/>
      <c r="AQ60" s="23"/>
      <c r="AR60" s="23"/>
      <c r="AS60" s="23"/>
      <c r="AT60" s="23"/>
      <c r="AU60" s="23"/>
      <c r="AV60" s="23"/>
    </row>
    <row r="61" spans="3:48" ht="17.25" thickBot="1">
      <c r="R61" s="54" t="s">
        <v>162</v>
      </c>
      <c r="S61" s="54"/>
      <c r="T61" s="54"/>
      <c r="U61" s="54"/>
      <c r="V61" s="54"/>
      <c r="W61" s="54"/>
      <c r="X61" s="54"/>
      <c r="Y61" s="54"/>
      <c r="Z61" s="54"/>
      <c r="AA61" s="54"/>
      <c r="AB61" s="54"/>
      <c r="AD61" s="23" t="s">
        <v>190</v>
      </c>
      <c r="AE61" s="36">
        <f>AE24/AE26</f>
        <v>3.3333333333333333E-2</v>
      </c>
      <c r="AF61" s="36">
        <f t="shared" ref="AF61:AH61" si="54">AF24/AF26</f>
        <v>0.5</v>
      </c>
      <c r="AG61" s="36">
        <f t="shared" si="54"/>
        <v>0.2</v>
      </c>
      <c r="AH61" s="36">
        <f t="shared" si="54"/>
        <v>0</v>
      </c>
      <c r="AJ61" s="36">
        <f>AI24/AI26</f>
        <v>0.11929824561403508</v>
      </c>
      <c r="AK61" s="36">
        <f>AJ24/AJ26</f>
        <v>9.3023255813953487E-2</v>
      </c>
      <c r="AL61" s="23"/>
      <c r="AM61" s="23"/>
      <c r="AN61" s="23"/>
      <c r="AO61" s="23"/>
      <c r="AQ61" s="23"/>
      <c r="AR61" s="23"/>
      <c r="AS61" s="23"/>
      <c r="AT61" s="23"/>
      <c r="AU61" s="23"/>
      <c r="AV61" s="23"/>
    </row>
    <row r="62" spans="3:48" ht="15.75" thickTop="1">
      <c r="AD62" s="24"/>
      <c r="AE62" s="26"/>
      <c r="AF62" s="26"/>
      <c r="AG62" s="24"/>
      <c r="AH62" s="26"/>
      <c r="AJ62" s="26"/>
      <c r="AK62" s="26"/>
      <c r="AL62" s="23"/>
      <c r="AM62" s="23"/>
      <c r="AN62" s="23"/>
      <c r="AO62" s="23"/>
      <c r="AQ62" s="23"/>
      <c r="AR62" s="23"/>
      <c r="AS62" s="23"/>
      <c r="AT62" s="23"/>
      <c r="AU62" s="23"/>
      <c r="AV62" s="23"/>
    </row>
    <row r="63" spans="3:48">
      <c r="AD63" s="51" t="s">
        <v>10</v>
      </c>
      <c r="AE63" s="23" t="str">
        <f>"Total Cost Burdened: "&amp;TEXT(AE56,"0%")</f>
        <v>Total Cost Burdened: 20%</v>
      </c>
      <c r="AF63" s="23" t="str">
        <f>"Total Cost Burdened: "&amp;TEXT(AF56,"0%")</f>
        <v>Total Cost Burdened: 50%</v>
      </c>
      <c r="AG63" s="23" t="str">
        <f>"Total Cost Burdened: "&amp;TEXT(AG56,"0%")</f>
        <v>Total Cost Burdened: 20%</v>
      </c>
      <c r="AH63" s="23" t="str">
        <f>"Total Cost Burdened: "&amp;TEXT(AH56,"0%")</f>
        <v>Total Cost Burdened: 0%</v>
      </c>
      <c r="AJ63" s="23" t="str">
        <f>"Total Cost Burdened: "&amp;TEXT(AJ56,"0%")</f>
        <v>Total Cost Burdened: 19%</v>
      </c>
      <c r="AK63" s="23" t="str">
        <f>"Total Cost Burdened: "&amp;TEXT(AK56,"0%")</f>
        <v>Total Cost Burdened: 29%</v>
      </c>
      <c r="AL63" s="23"/>
      <c r="AM63" s="23"/>
      <c r="AN63" s="23"/>
      <c r="AO63" s="23"/>
      <c r="AQ63" s="23"/>
      <c r="AR63" s="23"/>
      <c r="AS63" s="23"/>
      <c r="AT63" s="23"/>
      <c r="AU63" s="23"/>
      <c r="AV63" s="23"/>
    </row>
    <row r="64" spans="3:48" ht="15">
      <c r="AD64" s="46" t="s">
        <v>242</v>
      </c>
      <c r="AE64" s="46"/>
      <c r="AF64" s="46"/>
      <c r="AG64" s="46"/>
      <c r="AH64" s="46"/>
      <c r="AJ64" s="46"/>
      <c r="AK64" s="46"/>
      <c r="AL64" s="23"/>
      <c r="AM64" s="23"/>
      <c r="AN64" s="23"/>
      <c r="AO64" s="23"/>
      <c r="AP64" s="23"/>
      <c r="AQ64" s="23"/>
      <c r="AR64" s="23"/>
      <c r="AS64" s="23"/>
      <c r="AT64" s="23"/>
      <c r="AU64" s="23"/>
      <c r="AV64" s="23"/>
    </row>
    <row r="65" spans="3:48" ht="15">
      <c r="S65" s="46" t="s">
        <v>202</v>
      </c>
      <c r="T65" s="47"/>
      <c r="U65" s="47"/>
      <c r="V65" s="47"/>
      <c r="W65" s="47"/>
      <c r="X65" s="47"/>
      <c r="Y65" s="47"/>
      <c r="Z65" s="47"/>
      <c r="AD65" s="23" t="s">
        <v>201</v>
      </c>
      <c r="AE65" s="259">
        <f>IFERROR(IF(SUM(AE69:AE70)&gt;0, SUM(AE69:AE70), "0%"), "0%")</f>
        <v>0.93333333333333335</v>
      </c>
      <c r="AF65" s="259">
        <f t="shared" ref="AF65:AH65" si="55">IFERROR(IF(SUM(AF69:AF70)&gt;0, SUM(AF69:AF70), "0%"), "0%")</f>
        <v>0.83333333333333337</v>
      </c>
      <c r="AG65" s="259">
        <f t="shared" si="55"/>
        <v>0.13333333333333333</v>
      </c>
      <c r="AH65" s="259" t="str">
        <f t="shared" si="55"/>
        <v>0%</v>
      </c>
      <c r="AJ65" s="36">
        <f t="shared" ref="AJ65:AK65" si="56">IFERROR(IF(SUM(AJ69:AJ70)&gt;0, SUM(AJ69:AJ70), "0"), "0")</f>
        <v>0.57333333333333336</v>
      </c>
      <c r="AK65" s="36">
        <f t="shared" si="56"/>
        <v>0.33333333333333331</v>
      </c>
      <c r="AL65" s="23"/>
      <c r="AM65" s="23"/>
      <c r="AN65" s="23"/>
      <c r="AO65" s="23"/>
      <c r="AP65" s="23"/>
      <c r="AQ65" s="23"/>
      <c r="AR65" s="23"/>
      <c r="AS65" s="23"/>
      <c r="AT65" s="23"/>
      <c r="AU65" s="23"/>
      <c r="AV65" s="23"/>
    </row>
    <row r="66" spans="3:48">
      <c r="S66" s="5"/>
      <c r="T66" s="5"/>
      <c r="U66" s="5"/>
      <c r="V66" s="5"/>
      <c r="W66" s="5"/>
      <c r="X66" s="5"/>
      <c r="Y66" s="5"/>
      <c r="Z66" s="5"/>
      <c r="AD66" s="23" t="s">
        <v>280</v>
      </c>
      <c r="AE66" s="36">
        <f>1-AE65</f>
        <v>6.6666666666666652E-2</v>
      </c>
      <c r="AF66" s="36">
        <f>1-AF65</f>
        <v>0.16666666666666663</v>
      </c>
      <c r="AG66" s="36">
        <f>1-AG65</f>
        <v>0.8666666666666667</v>
      </c>
      <c r="AH66" s="36">
        <f>1-AH65</f>
        <v>1</v>
      </c>
      <c r="AJ66" s="36">
        <f>1-AJ65</f>
        <v>0.42666666666666664</v>
      </c>
      <c r="AK66" s="36">
        <f>1-AK65</f>
        <v>0.66666666666666674</v>
      </c>
      <c r="AL66" s="23"/>
      <c r="AM66" s="23"/>
      <c r="AN66" s="23"/>
      <c r="AO66" s="23"/>
      <c r="AP66" s="23"/>
      <c r="AQ66" s="23"/>
      <c r="AR66" s="23"/>
    </row>
    <row r="67" spans="3:48">
      <c r="T67" t="s">
        <v>80</v>
      </c>
      <c r="U67" t="s">
        <v>80</v>
      </c>
      <c r="V67" t="s">
        <v>80</v>
      </c>
      <c r="W67" t="s">
        <v>80</v>
      </c>
      <c r="X67" t="s">
        <v>80</v>
      </c>
      <c r="Y67" t="s">
        <v>80</v>
      </c>
      <c r="Z67" t="s">
        <v>80</v>
      </c>
      <c r="AD67" s="23" t="s">
        <v>193</v>
      </c>
      <c r="AE67" s="36" t="str">
        <f>IF((AE36/AE37)&gt;0,AE36/AE37,"")</f>
        <v/>
      </c>
      <c r="AF67" s="36" t="str">
        <f t="shared" ref="AF67:AH67" si="57">IF((AF36/AF37)&gt;0,AF36/AF37,"")</f>
        <v/>
      </c>
      <c r="AG67" s="36" t="str">
        <f t="shared" si="57"/>
        <v/>
      </c>
      <c r="AH67" s="36" t="e">
        <f t="shared" si="57"/>
        <v>#DIV/0!</v>
      </c>
      <c r="AJ67" s="36" t="str">
        <f>IF((AI36/AI37)&gt;0,AI36/AI37,"")</f>
        <v/>
      </c>
      <c r="AK67" s="36">
        <f>IF((AJ36/AJ37)&gt;0,AJ36/AJ37,"")</f>
        <v>3.3333333333333333E-2</v>
      </c>
      <c r="AL67" s="23"/>
      <c r="AM67" s="23"/>
      <c r="AN67" s="23"/>
      <c r="AO67" s="23"/>
      <c r="AP67" s="23"/>
      <c r="AQ67" s="23"/>
    </row>
    <row r="68" spans="3:48">
      <c r="T68" t="s">
        <v>204</v>
      </c>
      <c r="U68" t="s">
        <v>145</v>
      </c>
      <c r="V68" t="s">
        <v>203</v>
      </c>
      <c r="W68" t="s">
        <v>157</v>
      </c>
      <c r="X68" t="s">
        <v>195</v>
      </c>
      <c r="Y68" t="s">
        <v>187</v>
      </c>
      <c r="Z68" t="s">
        <v>136</v>
      </c>
      <c r="AD68" s="23" t="s">
        <v>198</v>
      </c>
      <c r="AE68" s="36">
        <f>AE33/AE37</f>
        <v>0.26666666666666666</v>
      </c>
      <c r="AF68" s="36">
        <f t="shared" ref="AF68:AH68" si="58">AF33/AF37</f>
        <v>0.13333333333333333</v>
      </c>
      <c r="AG68" s="36">
        <f t="shared" si="58"/>
        <v>0.83333333333333337</v>
      </c>
      <c r="AH68" s="36" t="e">
        <f t="shared" si="58"/>
        <v>#DIV/0!</v>
      </c>
      <c r="AJ68" s="36">
        <f>AI33/AI37</f>
        <v>0.44</v>
      </c>
      <c r="AK68" s="36">
        <f>AJ33/AJ37</f>
        <v>0.58333333333333337</v>
      </c>
      <c r="AL68" s="23"/>
      <c r="AM68" s="23"/>
      <c r="AN68" s="23"/>
      <c r="AO68" s="23"/>
    </row>
    <row r="69" spans="3:48">
      <c r="S69" s="25" t="s">
        <v>198</v>
      </c>
      <c r="T69" s="88" t="s">
        <v>281</v>
      </c>
      <c r="U69" s="88" t="s">
        <v>282</v>
      </c>
      <c r="V69" s="88" t="s">
        <v>283</v>
      </c>
      <c r="W69" s="88" t="s">
        <v>284</v>
      </c>
      <c r="X69" s="88" t="s">
        <v>285</v>
      </c>
      <c r="Y69" s="88" t="s">
        <v>286</v>
      </c>
      <c r="Z69" s="88" t="s">
        <v>287</v>
      </c>
      <c r="AD69" s="23" t="s">
        <v>191</v>
      </c>
      <c r="AE69" s="36">
        <f>AE34/AE37</f>
        <v>0.66666666666666663</v>
      </c>
      <c r="AF69" s="36">
        <f t="shared" ref="AF69:AH69" si="59">AF34/AF37</f>
        <v>0.83333333333333337</v>
      </c>
      <c r="AG69" s="36">
        <f t="shared" si="59"/>
        <v>0.13333333333333333</v>
      </c>
      <c r="AH69" s="36" t="e">
        <f t="shared" si="59"/>
        <v>#DIV/0!</v>
      </c>
      <c r="AJ69" s="36">
        <f>AI34/AI37</f>
        <v>0.52</v>
      </c>
      <c r="AK69" s="36">
        <f>AJ34/AJ37</f>
        <v>0.25</v>
      </c>
      <c r="AL69" s="23"/>
      <c r="AM69" s="23"/>
      <c r="AN69" s="23"/>
      <c r="AO69" s="23"/>
    </row>
    <row r="70" spans="3:48">
      <c r="S70" s="25" t="s">
        <v>191</v>
      </c>
      <c r="T70" s="88" t="s">
        <v>288</v>
      </c>
      <c r="U70" s="88" t="s">
        <v>289</v>
      </c>
      <c r="V70" s="88" t="s">
        <v>290</v>
      </c>
      <c r="W70" s="88" t="s">
        <v>291</v>
      </c>
      <c r="X70" s="88" t="s">
        <v>292</v>
      </c>
      <c r="Y70" s="88" t="s">
        <v>293</v>
      </c>
      <c r="Z70" s="88" t="s">
        <v>294</v>
      </c>
      <c r="AD70" s="23" t="s">
        <v>190</v>
      </c>
      <c r="AE70" s="36">
        <f>AE35/AE37</f>
        <v>0.26666666666666666</v>
      </c>
      <c r="AF70" s="36">
        <f t="shared" ref="AF70:AH70" si="60">AF35/AF37</f>
        <v>0</v>
      </c>
      <c r="AG70" s="36">
        <f t="shared" si="60"/>
        <v>0</v>
      </c>
      <c r="AH70" s="36" t="e">
        <f t="shared" si="60"/>
        <v>#DIV/0!</v>
      </c>
      <c r="AJ70" s="36">
        <f>AI35/AI37</f>
        <v>5.3333333333333337E-2</v>
      </c>
      <c r="AK70" s="36">
        <f>AJ35/AJ37</f>
        <v>8.3333333333333329E-2</v>
      </c>
      <c r="AL70" s="23"/>
      <c r="AM70" s="23"/>
      <c r="AN70" s="23"/>
      <c r="AO70" s="23"/>
    </row>
    <row r="71" spans="3:48" ht="15">
      <c r="S71" s="25" t="s">
        <v>190</v>
      </c>
      <c r="T71" s="88" t="s">
        <v>295</v>
      </c>
      <c r="U71" s="88" t="s">
        <v>296</v>
      </c>
      <c r="V71" s="88" t="s">
        <v>297</v>
      </c>
      <c r="W71" s="88" t="s">
        <v>298</v>
      </c>
      <c r="X71" s="88" t="s">
        <v>299</v>
      </c>
      <c r="Y71" s="88" t="s">
        <v>300</v>
      </c>
      <c r="Z71" s="88" t="s">
        <v>301</v>
      </c>
      <c r="AD71" s="24"/>
      <c r="AE71" s="26"/>
      <c r="AF71" s="26"/>
      <c r="AG71" s="26"/>
      <c r="AH71" s="26"/>
      <c r="AI71" s="26"/>
      <c r="AJ71" s="26"/>
      <c r="AK71" s="23"/>
      <c r="AL71" s="23"/>
      <c r="AM71" s="23"/>
      <c r="AN71" s="23"/>
      <c r="AO71" s="23"/>
    </row>
    <row r="72" spans="3:48">
      <c r="S72" s="25" t="s">
        <v>193</v>
      </c>
      <c r="T72" s="88" t="s">
        <v>302</v>
      </c>
      <c r="U72" s="88" t="s">
        <v>303</v>
      </c>
      <c r="V72" s="88" t="s">
        <v>304</v>
      </c>
      <c r="W72" s="88" t="s">
        <v>305</v>
      </c>
      <c r="X72" s="88" t="s">
        <v>306</v>
      </c>
      <c r="Y72" s="88" t="s">
        <v>307</v>
      </c>
      <c r="Z72" s="88" t="s">
        <v>308</v>
      </c>
      <c r="AD72" s="51" t="s">
        <v>10</v>
      </c>
      <c r="AE72" s="23" t="str">
        <f>"Total Cost Burdened: "&amp;TEXT(AK65,"0%")</f>
        <v>Total Cost Burdened: 33%</v>
      </c>
      <c r="AF72" s="23" t="str">
        <f>"Total Cost Burdened: "&amp;TEXT(AJ65,"0%")</f>
        <v>Total Cost Burdened: 57%</v>
      </c>
      <c r="AG72" s="23" t="str">
        <f>"Total Cost Burdened: "&amp;TEXT(AE65,"0%")</f>
        <v>Total Cost Burdened: 93%</v>
      </c>
      <c r="AH72" s="23" t="str">
        <f>"Total Cost Burdened: "&amp;TEXT(AF65,"0%")</f>
        <v>Total Cost Burdened: 83%</v>
      </c>
      <c r="AI72" s="23" t="str">
        <f>"Total Cost Burdened: "&amp;TEXT(AH65,"0%")</f>
        <v>Total Cost Burdened: 0%</v>
      </c>
      <c r="AJ72" s="23" t="str">
        <f>"Total Cost Burdened: "&amp;TEXT(AG65,"0%")</f>
        <v>Total Cost Burdened: 13%</v>
      </c>
      <c r="AK72" s="23"/>
      <c r="AL72" s="23"/>
      <c r="AM72" s="23"/>
      <c r="AN72" s="23"/>
      <c r="AO72" s="23"/>
    </row>
    <row r="73" spans="3:48">
      <c r="C73" s="314" t="s">
        <v>227</v>
      </c>
      <c r="D73" s="314"/>
      <c r="E73" s="314"/>
      <c r="F73" s="314"/>
      <c r="G73" s="314"/>
      <c r="H73" s="314"/>
      <c r="I73" s="314"/>
      <c r="J73" s="314"/>
      <c r="K73" s="314"/>
      <c r="AD73" s="23"/>
      <c r="AE73" s="23"/>
      <c r="AF73" s="23"/>
      <c r="AG73" s="23"/>
      <c r="AH73" s="23"/>
      <c r="AI73" s="23"/>
      <c r="AJ73" s="23"/>
      <c r="AK73" s="23"/>
      <c r="AO73" s="23"/>
    </row>
    <row r="74" spans="3:48">
      <c r="C74" s="314"/>
      <c r="D74" s="314"/>
      <c r="E74" s="314"/>
      <c r="F74" s="314"/>
      <c r="G74" s="314"/>
      <c r="H74" s="314"/>
      <c r="I74" s="314"/>
      <c r="J74" s="314"/>
      <c r="K74" s="314"/>
      <c r="AD74" s="23"/>
      <c r="AE74" s="23">
        <v>0</v>
      </c>
      <c r="AF74" s="23">
        <v>0</v>
      </c>
      <c r="AG74" s="23">
        <v>0</v>
      </c>
      <c r="AH74" s="23">
        <v>0</v>
      </c>
      <c r="AI74" s="23">
        <v>0</v>
      </c>
      <c r="AJ74" s="23">
        <v>0</v>
      </c>
      <c r="AK74" s="23"/>
      <c r="AO74" s="23"/>
    </row>
    <row r="75" spans="3:48" ht="15">
      <c r="S75" s="5"/>
      <c r="T75" s="26" t="s">
        <v>186</v>
      </c>
      <c r="U75" s="26" t="s">
        <v>145</v>
      </c>
      <c r="V75" s="26" t="s">
        <v>139</v>
      </c>
      <c r="W75" s="26" t="s">
        <v>157</v>
      </c>
      <c r="X75" s="26" t="s">
        <v>151</v>
      </c>
      <c r="Y75" s="26" t="s">
        <v>187</v>
      </c>
      <c r="Z75" s="26" t="s">
        <v>136</v>
      </c>
    </row>
    <row r="76" spans="3:48" ht="18" customHeight="1">
      <c r="C76" s="292" t="str">
        <f>"Chart 5. "&amp;City_label&amp;" number of owner households by race and cost burden, 2019"</f>
        <v>Chart 5. Algona number of owner households by race and cost burden, 2019</v>
      </c>
      <c r="D76" s="292"/>
      <c r="E76" s="292"/>
      <c r="F76" s="292"/>
      <c r="G76" s="292"/>
      <c r="H76" s="292"/>
      <c r="I76" s="292"/>
      <c r="J76" s="292"/>
      <c r="K76" s="292"/>
      <c r="L76" s="292"/>
      <c r="M76" s="292"/>
      <c r="S76" s="25" t="s">
        <v>198</v>
      </c>
      <c r="T76" s="1">
        <v>24</v>
      </c>
      <c r="U76" s="1">
        <v>54</v>
      </c>
      <c r="V76" s="1">
        <v>25</v>
      </c>
      <c r="W76" s="1">
        <v>35</v>
      </c>
      <c r="X76" s="1">
        <v>19</v>
      </c>
      <c r="Y76" s="1">
        <v>25</v>
      </c>
      <c r="Z76" s="1">
        <v>68</v>
      </c>
    </row>
    <row r="77" spans="3:48">
      <c r="C77" s="292"/>
      <c r="D77" s="292"/>
      <c r="E77" s="292"/>
      <c r="F77" s="292"/>
      <c r="G77" s="292"/>
      <c r="H77" s="292"/>
      <c r="I77" s="292"/>
      <c r="J77" s="292"/>
      <c r="K77" s="292"/>
      <c r="L77" s="292"/>
      <c r="M77" s="292"/>
      <c r="S77" s="25" t="s">
        <v>191</v>
      </c>
      <c r="T77" s="1">
        <v>12</v>
      </c>
      <c r="U77" s="1">
        <v>18</v>
      </c>
      <c r="V77" s="1">
        <v>12</v>
      </c>
      <c r="W77" s="1">
        <v>12</v>
      </c>
      <c r="X77" s="1">
        <v>12</v>
      </c>
      <c r="Y77" s="1">
        <v>12</v>
      </c>
      <c r="Z77" s="1">
        <v>39</v>
      </c>
    </row>
    <row r="78" spans="3:48">
      <c r="S78" s="25" t="s">
        <v>190</v>
      </c>
      <c r="T78" s="1">
        <v>12</v>
      </c>
      <c r="U78" s="1">
        <v>12</v>
      </c>
      <c r="V78" s="1">
        <v>17</v>
      </c>
      <c r="W78" s="1">
        <v>31</v>
      </c>
      <c r="X78" s="1">
        <v>12</v>
      </c>
      <c r="Y78" s="1">
        <v>12</v>
      </c>
      <c r="Z78" s="1">
        <v>25</v>
      </c>
    </row>
    <row r="79" spans="3:48">
      <c r="S79" s="25" t="s">
        <v>193</v>
      </c>
      <c r="T79" s="1">
        <v>12</v>
      </c>
      <c r="U79" s="1">
        <v>12</v>
      </c>
      <c r="V79" s="1">
        <v>12</v>
      </c>
      <c r="W79" s="1">
        <v>12</v>
      </c>
      <c r="X79" s="1">
        <v>12</v>
      </c>
      <c r="Y79" s="1">
        <v>12</v>
      </c>
      <c r="Z79" s="1">
        <v>12</v>
      </c>
    </row>
    <row r="80" spans="3:48" ht="15">
      <c r="S80" s="25" t="s">
        <v>149</v>
      </c>
      <c r="T80" s="29">
        <f t="shared" ref="T80:Z80" si="61">SUM(T76:T79)</f>
        <v>60</v>
      </c>
      <c r="U80" s="29">
        <f t="shared" si="61"/>
        <v>96</v>
      </c>
      <c r="V80" s="29">
        <f t="shared" si="61"/>
        <v>66</v>
      </c>
      <c r="W80" s="29">
        <f t="shared" si="61"/>
        <v>90</v>
      </c>
      <c r="X80" s="29">
        <f t="shared" si="61"/>
        <v>55</v>
      </c>
      <c r="Y80" s="29">
        <f t="shared" si="61"/>
        <v>61</v>
      </c>
      <c r="Z80" s="29">
        <f t="shared" si="61"/>
        <v>144</v>
      </c>
    </row>
    <row r="82" spans="19:26" ht="15">
      <c r="S82" s="5"/>
      <c r="T82" s="26" t="s">
        <v>186</v>
      </c>
      <c r="U82" s="26" t="s">
        <v>145</v>
      </c>
      <c r="V82" s="26" t="s">
        <v>139</v>
      </c>
      <c r="W82" s="26" t="s">
        <v>157</v>
      </c>
      <c r="X82" s="26" t="s">
        <v>151</v>
      </c>
      <c r="Y82" s="26" t="s">
        <v>187</v>
      </c>
      <c r="Z82" s="26" t="s">
        <v>136</v>
      </c>
    </row>
    <row r="83" spans="19:26">
      <c r="S83" s="25" t="s">
        <v>198</v>
      </c>
      <c r="T83" s="6">
        <f>IFERROR((((T76/1.645)/W30)),0)</f>
        <v>0.5835866261398176</v>
      </c>
      <c r="U83" s="6">
        <f>IFERROR((((U76/1.645)/V30)),0)</f>
        <v>0.32826747720364741</v>
      </c>
      <c r="V83" s="6">
        <f>IFERROR((((V76/1.645)/U30)),0)</f>
        <v>0.75987841945288748</v>
      </c>
      <c r="W83" s="6">
        <f>IFERROR((((W76/1.645)/Z30)),0)</f>
        <v>0.38684719535783363</v>
      </c>
      <c r="X83" s="6">
        <f>IFERROR((((X76/1.645)/Y30)),0)</f>
        <v>0.57750759878419455</v>
      </c>
      <c r="Y83" s="6">
        <f>IFERROR((((Y76/1.645)/X30)),0)</f>
        <v>1.0131712259371832</v>
      </c>
      <c r="Z83" s="6">
        <f>IFERROR((((Z76/1.645)/T30)),0)</f>
        <v>0.13553241317454781</v>
      </c>
    </row>
    <row r="84" spans="19:26">
      <c r="S84" s="25" t="s">
        <v>191</v>
      </c>
      <c r="T84" s="6">
        <f>IFERROR((((T77/1.645)/W31)),0)</f>
        <v>0</v>
      </c>
      <c r="U84" s="6">
        <f>IFERROR((((U77/1.645)/V31)),0)</f>
        <v>0.54711246200607899</v>
      </c>
      <c r="V84" s="6">
        <f>IFERROR((((V77/1.645)/U31)),0)</f>
        <v>0</v>
      </c>
      <c r="W84" s="6">
        <f>IFERROR((((W77/1.645)/Z31)),0)</f>
        <v>0</v>
      </c>
      <c r="X84" s="6">
        <f>IFERROR((((X77/1.645)/Y31)),0)</f>
        <v>0</v>
      </c>
      <c r="Y84" s="6">
        <f>IFERROR((((Y77/1.645)/X31)),0)</f>
        <v>0</v>
      </c>
      <c r="Z84" s="6">
        <f>IFERROR((((Z77/1.645)/T31)),0)</f>
        <v>0.27892007866976576</v>
      </c>
    </row>
    <row r="85" spans="19:26">
      <c r="S85" s="25" t="s">
        <v>190</v>
      </c>
      <c r="T85" s="6">
        <f>IFERROR((((T78/1.645)/W32)),0)</f>
        <v>0</v>
      </c>
      <c r="U85" s="6">
        <f>IFERROR((((U78/1.645)/V32)),0)</f>
        <v>1.8237082066869301</v>
      </c>
      <c r="V85" s="6">
        <f>IFERROR((((V78/1.645)/U32)),0)</f>
        <v>0.68895643363728476</v>
      </c>
      <c r="W85" s="6">
        <f>IFERROR((((W78/1.645)/Z32)),0)</f>
        <v>1.2563323201621075</v>
      </c>
      <c r="X85" s="6">
        <f>IFERROR((((X78/1.645)/Y32)),0)</f>
        <v>0</v>
      </c>
      <c r="Y85" s="6">
        <f>IFERROR((((Y78/1.645)/X32)),0)</f>
        <v>0</v>
      </c>
      <c r="Z85" s="6">
        <f>IFERROR((((Z78/1.645)/T32)),0)</f>
        <v>0.37993920972644374</v>
      </c>
    </row>
    <row r="86" spans="19:26">
      <c r="S86" s="25" t="s">
        <v>193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25"/>
      <c r="T87" s="206">
        <f>COUNTIF(T83:T86, "&gt;=City_OFM")</f>
        <v>0</v>
      </c>
      <c r="U87" s="206"/>
      <c r="V87" s="206"/>
      <c r="W87" s="206"/>
      <c r="X87" s="206"/>
      <c r="Y87" s="206"/>
      <c r="Z87" s="206"/>
    </row>
    <row r="88" spans="19:26">
      <c r="S88" s="5"/>
      <c r="T88" s="5"/>
      <c r="U88" s="5"/>
      <c r="V88" s="5"/>
      <c r="W88" s="5"/>
      <c r="X88" s="5"/>
      <c r="Y88" s="5"/>
      <c r="Z88" s="5"/>
    </row>
    <row r="89" spans="19:26" ht="15">
      <c r="S89" s="46" t="s">
        <v>242</v>
      </c>
      <c r="T89" s="47"/>
      <c r="U89" s="47"/>
      <c r="V89" s="47"/>
      <c r="W89" s="47"/>
      <c r="X89" s="47"/>
      <c r="Y89" s="47"/>
      <c r="Z89" s="47"/>
    </row>
    <row r="91" spans="19:26">
      <c r="T91" t="s">
        <v>80</v>
      </c>
      <c r="U91" t="s">
        <v>80</v>
      </c>
      <c r="V91" t="s">
        <v>80</v>
      </c>
      <c r="W91" t="s">
        <v>80</v>
      </c>
      <c r="X91" t="s">
        <v>80</v>
      </c>
      <c r="Y91" t="s">
        <v>80</v>
      </c>
      <c r="Z91" t="s">
        <v>80</v>
      </c>
    </row>
    <row r="92" spans="19:26">
      <c r="T92" t="s">
        <v>204</v>
      </c>
      <c r="U92" t="s">
        <v>145</v>
      </c>
      <c r="V92" t="s">
        <v>203</v>
      </c>
      <c r="W92" t="s">
        <v>157</v>
      </c>
      <c r="X92" t="s">
        <v>195</v>
      </c>
      <c r="Y92" t="s">
        <v>187</v>
      </c>
      <c r="Z92" t="s">
        <v>136</v>
      </c>
    </row>
    <row r="93" spans="19:26">
      <c r="S93" s="25" t="s">
        <v>198</v>
      </c>
      <c r="T93" s="88" t="s">
        <v>309</v>
      </c>
      <c r="U93" s="88" t="s">
        <v>310</v>
      </c>
      <c r="V93" s="88" t="s">
        <v>311</v>
      </c>
      <c r="W93" s="88" t="s">
        <v>312</v>
      </c>
      <c r="X93" s="88" t="s">
        <v>313</v>
      </c>
      <c r="Y93" s="88" t="s">
        <v>314</v>
      </c>
      <c r="Z93" s="88" t="s">
        <v>315</v>
      </c>
    </row>
    <row r="94" spans="19:26">
      <c r="S94" s="25" t="s">
        <v>191</v>
      </c>
      <c r="T94" s="88" t="s">
        <v>316</v>
      </c>
      <c r="U94" s="88" t="s">
        <v>317</v>
      </c>
      <c r="V94" s="88" t="s">
        <v>318</v>
      </c>
      <c r="W94" s="88" t="s">
        <v>319</v>
      </c>
      <c r="X94" s="88" t="s">
        <v>320</v>
      </c>
      <c r="Y94" s="88" t="s">
        <v>321</v>
      </c>
      <c r="Z94" s="88" t="s">
        <v>322</v>
      </c>
    </row>
    <row r="95" spans="19:26">
      <c r="S95" s="25" t="s">
        <v>190</v>
      </c>
      <c r="T95" s="88" t="s">
        <v>323</v>
      </c>
      <c r="U95" s="88" t="s">
        <v>324</v>
      </c>
      <c r="V95" s="88" t="s">
        <v>325</v>
      </c>
      <c r="W95" s="88" t="s">
        <v>326</v>
      </c>
      <c r="X95" s="88" t="s">
        <v>327</v>
      </c>
      <c r="Y95" s="88" t="s">
        <v>328</v>
      </c>
      <c r="Z95" s="88" t="s">
        <v>329</v>
      </c>
    </row>
    <row r="96" spans="19:26">
      <c r="S96" s="25" t="s">
        <v>193</v>
      </c>
      <c r="T96" s="88" t="s">
        <v>330</v>
      </c>
      <c r="U96" s="88" t="s">
        <v>331</v>
      </c>
      <c r="V96" s="88" t="s">
        <v>332</v>
      </c>
      <c r="W96" s="88" t="s">
        <v>333</v>
      </c>
      <c r="X96" s="88" t="s">
        <v>334</v>
      </c>
      <c r="Y96" s="88" t="s">
        <v>335</v>
      </c>
      <c r="Z96" s="88" t="s">
        <v>336</v>
      </c>
    </row>
    <row r="97" spans="3:37">
      <c r="C97" s="289" t="s">
        <v>227</v>
      </c>
      <c r="D97" s="289"/>
      <c r="E97" s="289"/>
      <c r="F97" s="289"/>
      <c r="G97" s="289"/>
      <c r="H97" s="289"/>
      <c r="I97" s="289"/>
      <c r="J97" s="289"/>
      <c r="K97" s="289"/>
    </row>
    <row r="98" spans="3:37" ht="18" customHeight="1">
      <c r="C98" s="289"/>
      <c r="D98" s="289"/>
      <c r="E98" s="289"/>
      <c r="F98" s="289"/>
      <c r="G98" s="289"/>
      <c r="H98" s="289"/>
      <c r="I98" s="289"/>
      <c r="J98" s="289"/>
      <c r="K98" s="289"/>
    </row>
    <row r="99" spans="3:37" ht="15">
      <c r="S99" s="5"/>
      <c r="T99" s="26" t="s">
        <v>186</v>
      </c>
      <c r="U99" s="26" t="s">
        <v>145</v>
      </c>
      <c r="V99" s="26" t="s">
        <v>139</v>
      </c>
      <c r="W99" s="26" t="s">
        <v>157</v>
      </c>
      <c r="X99" s="26" t="s">
        <v>151</v>
      </c>
      <c r="Y99" s="26" t="s">
        <v>187</v>
      </c>
      <c r="Z99" s="26" t="s">
        <v>136</v>
      </c>
    </row>
    <row r="100" spans="3:37" ht="19.5" customHeight="1">
      <c r="C100" s="292" t="str">
        <f>"Chart 5a. "&amp;City_label&amp;" number of owner households by race and cost burden, 2019"</f>
        <v>Chart 5a. Algona number of owner households by race and cost burden, 2019</v>
      </c>
      <c r="D100" s="292"/>
      <c r="E100" s="292"/>
      <c r="F100" s="292"/>
      <c r="G100" s="292"/>
      <c r="H100" s="292"/>
      <c r="I100" s="292"/>
      <c r="J100" s="292"/>
      <c r="K100" s="292"/>
      <c r="L100" s="292"/>
      <c r="M100" s="292"/>
      <c r="S100" s="25" t="s">
        <v>198</v>
      </c>
      <c r="T100" s="1">
        <v>12</v>
      </c>
      <c r="U100" s="1">
        <v>4</v>
      </c>
      <c r="V100" s="1">
        <v>7</v>
      </c>
      <c r="W100" s="1">
        <v>28</v>
      </c>
      <c r="X100" s="1">
        <v>12</v>
      </c>
      <c r="Y100" s="1">
        <v>12</v>
      </c>
      <c r="Z100" s="1">
        <v>44</v>
      </c>
    </row>
    <row r="101" spans="3:37" ht="19.5" customHeight="1">
      <c r="C101" s="292"/>
      <c r="D101" s="292"/>
      <c r="E101" s="292"/>
      <c r="F101" s="292"/>
      <c r="G101" s="292"/>
      <c r="H101" s="292"/>
      <c r="I101" s="292"/>
      <c r="J101" s="292"/>
      <c r="K101" s="292"/>
      <c r="L101" s="292"/>
      <c r="M101" s="292"/>
      <c r="S101" s="25" t="s">
        <v>191</v>
      </c>
      <c r="T101" s="1">
        <v>12</v>
      </c>
      <c r="U101" s="1">
        <v>16</v>
      </c>
      <c r="V101" s="1">
        <v>27</v>
      </c>
      <c r="W101" s="1">
        <v>15</v>
      </c>
      <c r="X101" s="1">
        <v>12</v>
      </c>
      <c r="Y101" s="1">
        <v>12</v>
      </c>
      <c r="Z101" s="1">
        <v>27</v>
      </c>
    </row>
    <row r="102" spans="3:37">
      <c r="S102" s="25" t="s">
        <v>190</v>
      </c>
      <c r="T102" s="1">
        <v>12</v>
      </c>
      <c r="U102" s="1">
        <v>5</v>
      </c>
      <c r="V102" s="1">
        <v>12</v>
      </c>
      <c r="W102" s="1">
        <v>12</v>
      </c>
      <c r="X102" s="1">
        <v>12</v>
      </c>
      <c r="Y102" s="1">
        <v>12</v>
      </c>
      <c r="Z102" s="1">
        <v>15</v>
      </c>
    </row>
    <row r="103" spans="3:37">
      <c r="S103" s="25" t="s">
        <v>193</v>
      </c>
      <c r="T103" s="1">
        <v>12</v>
      </c>
      <c r="U103" s="1">
        <v>12</v>
      </c>
      <c r="V103" s="1">
        <v>12</v>
      </c>
      <c r="W103" s="1">
        <v>12</v>
      </c>
      <c r="X103" s="1">
        <v>12</v>
      </c>
      <c r="Y103" s="1">
        <v>12</v>
      </c>
      <c r="Z103" s="1">
        <v>5</v>
      </c>
    </row>
    <row r="104" spans="3:37" ht="15">
      <c r="S104" s="25" t="s">
        <v>149</v>
      </c>
      <c r="T104" s="29">
        <f t="shared" ref="T104:Z104" si="62">SUM(T100:T103)</f>
        <v>48</v>
      </c>
      <c r="U104" s="29">
        <f t="shared" si="62"/>
        <v>37</v>
      </c>
      <c r="V104" s="29">
        <f t="shared" si="62"/>
        <v>58</v>
      </c>
      <c r="W104" s="29">
        <f t="shared" si="62"/>
        <v>67</v>
      </c>
      <c r="X104" s="29">
        <f t="shared" si="62"/>
        <v>48</v>
      </c>
      <c r="Y104" s="29">
        <f t="shared" si="62"/>
        <v>48</v>
      </c>
      <c r="Z104" s="29">
        <f t="shared" si="62"/>
        <v>91</v>
      </c>
      <c r="AD104" s="23"/>
      <c r="AE104" s="23"/>
      <c r="AF104" s="23"/>
      <c r="AG104" s="23"/>
      <c r="AH104" s="23"/>
      <c r="AI104" s="23"/>
      <c r="AJ104" s="23"/>
      <c r="AK104" s="23"/>
    </row>
    <row r="106" spans="3:37" ht="14.25" customHeight="1">
      <c r="S106" s="5"/>
      <c r="T106" s="26" t="s">
        <v>186</v>
      </c>
      <c r="U106" s="26" t="s">
        <v>145</v>
      </c>
      <c r="V106" s="26" t="s">
        <v>139</v>
      </c>
      <c r="W106" s="26" t="s">
        <v>157</v>
      </c>
      <c r="X106" s="26" t="s">
        <v>151</v>
      </c>
      <c r="Y106" s="26" t="s">
        <v>187</v>
      </c>
      <c r="Z106" s="26" t="s">
        <v>136</v>
      </c>
    </row>
    <row r="107" spans="3:37">
      <c r="S107" s="25" t="s">
        <v>198</v>
      </c>
      <c r="T107" s="6">
        <f>IFERROR((((T100/1.645)/W50)),0)</f>
        <v>0</v>
      </c>
      <c r="U107" s="6">
        <f>IFERROR((((U100/1.645)/V50)),0)</f>
        <v>0.60790273556231</v>
      </c>
      <c r="V107" s="6">
        <f>IFERROR((((V100/1.645)/U50)),0)</f>
        <v>1.0638297872340425</v>
      </c>
      <c r="W107" s="6">
        <f>IFERROR((((W100/1.645)/Z50)),0)</f>
        <v>0.68085106382978722</v>
      </c>
      <c r="X107" s="6">
        <f>IFERROR((((X100/1.645)/Y50)),0)</f>
        <v>0</v>
      </c>
      <c r="Y107" s="6">
        <f>IFERROR((((Y100/1.645)/X50)),0)</f>
        <v>0</v>
      </c>
      <c r="Z107" s="6">
        <f>IFERROR((((Z100/1.645)/T50)),0)</f>
        <v>0.38211029092488058</v>
      </c>
    </row>
    <row r="108" spans="3:37">
      <c r="S108" s="25" t="s">
        <v>191</v>
      </c>
      <c r="T108" s="6">
        <f>IFERROR((((T101/1.645)/W51)),0)</f>
        <v>0</v>
      </c>
      <c r="U108" s="6">
        <f>IFERROR((((U101/1.645)/V51)),0)</f>
        <v>0.97264437689969596</v>
      </c>
      <c r="V108" s="6">
        <f>IFERROR((((V101/1.645)/U51)),0)</f>
        <v>0.65653495440729481</v>
      </c>
      <c r="W108" s="6">
        <f>IFERROR((((W101/1.645)/Z51)),0)</f>
        <v>2.2796352583586628</v>
      </c>
      <c r="X108" s="6">
        <f>IFERROR((((X101/1.645)/Y51)),0)</f>
        <v>0</v>
      </c>
      <c r="Y108" s="6">
        <f>IFERROR((((Y101/1.645)/X51)),0)</f>
        <v>0</v>
      </c>
      <c r="Z108" s="6">
        <f>IFERROR((((Z101/1.645)/T51)),0)</f>
        <v>0.5471124620060791</v>
      </c>
    </row>
    <row r="109" spans="3:37">
      <c r="S109" s="25" t="s">
        <v>190</v>
      </c>
      <c r="T109" s="6">
        <f>IFERROR((((T102/1.645)/W52)),0)</f>
        <v>0</v>
      </c>
      <c r="U109" s="6">
        <f>IFERROR((((U102/1.645)/V52)),0)</f>
        <v>0.75987841945288748</v>
      </c>
      <c r="V109" s="6">
        <f>IFERROR((((V102/1.645)/U52)),0)</f>
        <v>0</v>
      </c>
      <c r="W109" s="6">
        <f>IFERROR((((W102/1.645)/Z52)),0)</f>
        <v>0</v>
      </c>
      <c r="X109" s="6">
        <f>IFERROR((((X102/1.645)/Y52)),0)</f>
        <v>0</v>
      </c>
      <c r="Y109" s="6">
        <f>IFERROR((((Y102/1.645)/X52)),0)</f>
        <v>0</v>
      </c>
      <c r="Z109" s="6">
        <f>IFERROR((((Z102/1.645)/T52)),0)</f>
        <v>0.91185410334346506</v>
      </c>
    </row>
    <row r="110" spans="3:37">
      <c r="S110" s="25" t="s">
        <v>193</v>
      </c>
      <c r="T110" s="6">
        <f>IFERROR((((T103/1.645)/W53)),0)</f>
        <v>0</v>
      </c>
      <c r="U110" s="6">
        <f>IFERROR((((U103/1.645)/V53)),0)</f>
        <v>0</v>
      </c>
      <c r="V110" s="6">
        <f>IFERROR((((V103/1.645)/U53)),0)</f>
        <v>0</v>
      </c>
      <c r="W110" s="6">
        <f>IFERROR((((W103/1.645)/Z53)),0)</f>
        <v>0</v>
      </c>
      <c r="X110" s="6">
        <f>IFERROR((((X103/1.645)/Y53)),0)</f>
        <v>0</v>
      </c>
      <c r="Y110" s="6">
        <f>IFERROR((((Y103/1.645)/X53)),0)</f>
        <v>0</v>
      </c>
      <c r="Z110" s="6">
        <f>IFERROR((((Z103/1.645)/T53)),0)</f>
        <v>0.75987841945288748</v>
      </c>
    </row>
    <row r="111" spans="3:37">
      <c r="S111" s="25" t="s">
        <v>149</v>
      </c>
    </row>
    <row r="121" spans="3:11">
      <c r="C121" s="289" t="s">
        <v>227</v>
      </c>
      <c r="D121" s="289"/>
      <c r="E121" s="289"/>
      <c r="F121" s="289"/>
      <c r="G121" s="289"/>
      <c r="H121" s="289"/>
      <c r="I121" s="289"/>
      <c r="J121" s="289"/>
      <c r="K121" s="289"/>
    </row>
    <row r="122" spans="3:11">
      <c r="C122" s="289"/>
      <c r="D122" s="289"/>
      <c r="E122" s="289"/>
      <c r="F122" s="289"/>
      <c r="G122" s="289"/>
      <c r="H122" s="289"/>
      <c r="I122" s="289"/>
      <c r="J122" s="289"/>
      <c r="K122" s="289"/>
    </row>
    <row r="124" spans="3:11" ht="18">
      <c r="C124" s="43" t="str">
        <f>"Chart 6. "&amp;City_label&amp;" renter households by race and cost burden, 2019"</f>
        <v>Chart 6. Algona renter households by race and cost burden, 2019</v>
      </c>
    </row>
    <row r="144" spans="3:11">
      <c r="C144" s="289" t="s">
        <v>227</v>
      </c>
      <c r="D144" s="289"/>
      <c r="E144" s="289"/>
      <c r="F144" s="289"/>
      <c r="G144" s="289"/>
      <c r="H144" s="289"/>
      <c r="I144" s="289"/>
      <c r="J144" s="289"/>
      <c r="K144" s="289"/>
    </row>
    <row r="145" spans="3:11">
      <c r="C145" s="289"/>
      <c r="D145" s="289"/>
      <c r="E145" s="289"/>
      <c r="F145" s="289"/>
      <c r="G145" s="289"/>
      <c r="H145" s="289"/>
      <c r="I145" s="289"/>
      <c r="J145" s="289"/>
      <c r="K145" s="289"/>
    </row>
    <row r="148" spans="3:11" ht="18">
      <c r="C148" s="43" t="str">
        <f>"Chart 6a. "&amp;City_label&amp;" renter households by race and cost burden, 2019"</f>
        <v>Chart 6a. Algona renter households by race and cost burden, 2019</v>
      </c>
    </row>
    <row r="168" spans="3:19" ht="15">
      <c r="S168" s="31"/>
    </row>
    <row r="169" spans="3:19">
      <c r="C169" s="289" t="s">
        <v>227</v>
      </c>
      <c r="D169" s="289"/>
      <c r="E169" s="289"/>
      <c r="F169" s="289"/>
      <c r="G169" s="289"/>
      <c r="H169" s="289"/>
      <c r="I169" s="289"/>
      <c r="J169" s="289"/>
      <c r="K169" s="289"/>
    </row>
    <row r="170" spans="3:19">
      <c r="C170" s="289"/>
      <c r="D170" s="289"/>
      <c r="E170" s="289"/>
      <c r="F170" s="289"/>
      <c r="G170" s="289"/>
      <c r="H170" s="289"/>
      <c r="I170" s="289"/>
      <c r="J170" s="289"/>
      <c r="K170" s="289"/>
    </row>
    <row r="171" spans="3:19" ht="19.5" customHeight="1"/>
    <row r="172" spans="3:19" ht="19.5" customHeight="1"/>
    <row r="173" spans="3:19" ht="21.75" customHeight="1">
      <c r="C173" s="292" t="str">
        <f>"Table 4. "&amp;City_label&amp;" percentage of households by housing cost burden, 2019"</f>
        <v>Table 4. Algona percentage of households by housing cost burden, 2019</v>
      </c>
      <c r="D173" s="292"/>
      <c r="E173" s="292"/>
      <c r="F173" s="292"/>
      <c r="G173" s="292"/>
      <c r="H173" s="292"/>
      <c r="I173" s="292"/>
      <c r="J173" s="292"/>
      <c r="K173" s="292"/>
      <c r="L173" s="292"/>
    </row>
    <row r="174" spans="3:19" ht="21.75" customHeight="1">
      <c r="C174" s="292"/>
      <c r="D174" s="292"/>
      <c r="E174" s="292"/>
      <c r="F174" s="292"/>
      <c r="G174" s="292"/>
      <c r="H174" s="292"/>
      <c r="I174" s="292"/>
      <c r="J174" s="292"/>
      <c r="K174" s="292"/>
      <c r="L174" s="292"/>
    </row>
    <row r="175" spans="3:19" ht="15" thickBot="1"/>
    <row r="176" spans="3:19" ht="15">
      <c r="C176" s="75"/>
      <c r="D176" s="75"/>
      <c r="E176" s="75"/>
      <c r="F176" s="75"/>
      <c r="G176" s="114"/>
      <c r="H176" s="115" t="s">
        <v>337</v>
      </c>
      <c r="I176" s="76"/>
      <c r="J176" s="76"/>
      <c r="K176" s="76"/>
    </row>
    <row r="177" spans="3:28">
      <c r="C177" s="73"/>
      <c r="D177" s="73"/>
      <c r="E177" s="72"/>
      <c r="F177" s="310" t="s">
        <v>161</v>
      </c>
      <c r="G177" s="308" t="s">
        <v>136</v>
      </c>
      <c r="H177" s="312" t="s">
        <v>145</v>
      </c>
      <c r="I177" s="310" t="s">
        <v>139</v>
      </c>
      <c r="J177" s="310" t="s">
        <v>157</v>
      </c>
      <c r="K177" s="310" t="s">
        <v>151</v>
      </c>
    </row>
    <row r="178" spans="3:28">
      <c r="C178" s="73"/>
      <c r="D178" s="73"/>
      <c r="E178" s="72"/>
      <c r="F178" s="310"/>
      <c r="G178" s="308"/>
      <c r="H178" s="312"/>
      <c r="I178" s="310"/>
      <c r="J178" s="310"/>
      <c r="K178" s="310"/>
    </row>
    <row r="179" spans="3:28">
      <c r="C179" s="58"/>
      <c r="D179" s="58"/>
      <c r="E179" s="66"/>
      <c r="F179" s="311"/>
      <c r="G179" s="309"/>
      <c r="H179" s="313"/>
      <c r="I179" s="311"/>
      <c r="J179" s="311"/>
      <c r="K179" s="311"/>
    </row>
    <row r="180" spans="3:28">
      <c r="C180" s="71" t="s">
        <v>212</v>
      </c>
      <c r="D180" s="71"/>
      <c r="E180" s="71"/>
      <c r="F180" s="71"/>
      <c r="G180" s="71"/>
      <c r="H180" s="106"/>
      <c r="I180" s="71"/>
      <c r="J180" s="71"/>
      <c r="K180" s="71"/>
    </row>
    <row r="181" spans="3:28">
      <c r="C181" s="21" t="s">
        <v>198</v>
      </c>
      <c r="D181" s="21"/>
      <c r="E181" s="21"/>
      <c r="F181" s="107">
        <f>AJ50</f>
        <v>0.73424657534246573</v>
      </c>
      <c r="G181" s="107">
        <f>AK50</f>
        <v>0.68933823529411764</v>
      </c>
      <c r="H181" s="260">
        <f>AE50</f>
        <v>0.73239436619718312</v>
      </c>
      <c r="I181" s="261">
        <f>AF50</f>
        <v>0.375</v>
      </c>
      <c r="J181" s="261">
        <f>AG50</f>
        <v>0.80808080808080807</v>
      </c>
      <c r="K181" s="261">
        <f>AH50</f>
        <v>1</v>
      </c>
    </row>
    <row r="182" spans="3:28" ht="18.75" customHeight="1">
      <c r="C182" s="21" t="s">
        <v>201</v>
      </c>
      <c r="D182" s="21"/>
      <c r="E182" s="21"/>
      <c r="F182" s="107">
        <f>AJ47</f>
        <v>0.26575342465753427</v>
      </c>
      <c r="G182" s="107">
        <f>AK47</f>
        <v>0.3033088235294118</v>
      </c>
      <c r="H182" s="260">
        <f>AE47</f>
        <v>0.26760563380281688</v>
      </c>
      <c r="I182" s="261">
        <f>AF47</f>
        <v>0.625</v>
      </c>
      <c r="J182" s="261">
        <f>AG47</f>
        <v>0.19191919191919193</v>
      </c>
      <c r="K182" s="261" t="str">
        <f>AH47</f>
        <v>0</v>
      </c>
    </row>
    <row r="183" spans="3:28" ht="18.75" customHeight="1">
      <c r="C183" s="112" t="s">
        <v>191</v>
      </c>
      <c r="D183" s="109"/>
      <c r="E183" s="109"/>
      <c r="F183" s="113">
        <f>AJ51</f>
        <v>0.16164383561643836</v>
      </c>
      <c r="G183" s="113">
        <f>AK51</f>
        <v>0.21139705882352941</v>
      </c>
      <c r="H183" s="262">
        <f t="shared" ref="H183:K184" si="63">AE51</f>
        <v>0.21126760563380281</v>
      </c>
      <c r="I183" s="263">
        <f t="shared" si="63"/>
        <v>0.390625</v>
      </c>
      <c r="J183" s="263">
        <f t="shared" si="63"/>
        <v>4.0404040404040407E-2</v>
      </c>
      <c r="K183" s="263">
        <f t="shared" si="63"/>
        <v>0</v>
      </c>
    </row>
    <row r="184" spans="3:28">
      <c r="C184" s="112" t="s">
        <v>190</v>
      </c>
      <c r="D184" s="109"/>
      <c r="E184" s="109"/>
      <c r="F184" s="113">
        <f>AJ52</f>
        <v>0.10410958904109589</v>
      </c>
      <c r="G184" s="113">
        <f>AK52</f>
        <v>9.1911764705882359E-2</v>
      </c>
      <c r="H184" s="262">
        <f t="shared" si="63"/>
        <v>5.6338028169014086E-2</v>
      </c>
      <c r="I184" s="263">
        <f t="shared" si="63"/>
        <v>0.234375</v>
      </c>
      <c r="J184" s="263">
        <f t="shared" si="63"/>
        <v>0.15151515151515152</v>
      </c>
      <c r="K184" s="263">
        <f t="shared" si="63"/>
        <v>0</v>
      </c>
    </row>
    <row r="185" spans="3:28">
      <c r="C185" s="21" t="s">
        <v>193</v>
      </c>
      <c r="D185" s="21"/>
      <c r="E185" s="21"/>
      <c r="F185" s="107" t="str">
        <f>AJ49</f>
        <v/>
      </c>
      <c r="G185" s="107">
        <f>AK49</f>
        <v>7.3529411764705881E-3</v>
      </c>
      <c r="H185" s="260" t="str">
        <f>AE49</f>
        <v/>
      </c>
      <c r="I185" s="261" t="str">
        <f>AF49</f>
        <v/>
      </c>
      <c r="J185" s="261" t="str">
        <f>AG49</f>
        <v/>
      </c>
      <c r="K185" s="261" t="str">
        <f>AH49</f>
        <v/>
      </c>
      <c r="AA185" s="74"/>
      <c r="AB185" s="74"/>
    </row>
    <row r="186" spans="3:28">
      <c r="C186" s="71" t="s">
        <v>338</v>
      </c>
      <c r="D186" s="71"/>
      <c r="E186" s="71"/>
      <c r="F186" s="71"/>
      <c r="G186" s="71"/>
      <c r="H186" s="264"/>
      <c r="I186" s="265"/>
      <c r="J186" s="265"/>
      <c r="K186" s="265"/>
    </row>
    <row r="187" spans="3:28">
      <c r="C187" s="21" t="s">
        <v>198</v>
      </c>
      <c r="D187" s="21"/>
      <c r="E187" s="21"/>
      <c r="F187" s="107">
        <f>AJ59</f>
        <v>0.82456140350877194</v>
      </c>
      <c r="G187" s="107">
        <f>AK59</f>
        <v>0.70930232558139539</v>
      </c>
      <c r="H187" s="260">
        <f>AE59</f>
        <v>0.83333333333333337</v>
      </c>
      <c r="I187" s="261">
        <f>AF59</f>
        <v>0.66666666666666663</v>
      </c>
      <c r="J187" s="261">
        <f>AG59</f>
        <v>0.73333333333333328</v>
      </c>
      <c r="K187" s="261">
        <f>AH59</f>
        <v>1</v>
      </c>
      <c r="AA187" s="91"/>
      <c r="AB187" s="91"/>
    </row>
    <row r="188" spans="3:28" ht="14.25" customHeight="1">
      <c r="C188" s="21" t="s">
        <v>201</v>
      </c>
      <c r="D188" s="21"/>
      <c r="E188" s="21"/>
      <c r="F188" s="107">
        <f>AJ56</f>
        <v>0.18947368421052629</v>
      </c>
      <c r="G188" s="107">
        <f>AK56</f>
        <v>0.29069767441860461</v>
      </c>
      <c r="H188" s="260">
        <f>AE56</f>
        <v>0.19999999999999998</v>
      </c>
      <c r="I188" s="261">
        <f>AF56</f>
        <v>0.5</v>
      </c>
      <c r="J188" s="261">
        <f>AG56</f>
        <v>0.2</v>
      </c>
      <c r="K188" s="261" t="str">
        <f>AH56</f>
        <v>0%</v>
      </c>
      <c r="AA188" s="91"/>
      <c r="AB188" s="91"/>
    </row>
    <row r="189" spans="3:28" ht="14.25" customHeight="1">
      <c r="C189" s="112" t="s">
        <v>191</v>
      </c>
      <c r="D189" s="109"/>
      <c r="E189" s="109"/>
      <c r="F189" s="113">
        <f>AJ60</f>
        <v>7.0175438596491224E-2</v>
      </c>
      <c r="G189" s="113">
        <f>AK60</f>
        <v>0.19767441860465115</v>
      </c>
      <c r="H189" s="262">
        <f t="shared" ref="H189:K190" si="64">AE60</f>
        <v>0.16666666666666666</v>
      </c>
      <c r="I189" s="263">
        <f t="shared" si="64"/>
        <v>0</v>
      </c>
      <c r="J189" s="263">
        <f t="shared" si="64"/>
        <v>0</v>
      </c>
      <c r="K189" s="263">
        <f t="shared" si="64"/>
        <v>0</v>
      </c>
      <c r="S189" s="91"/>
      <c r="T189" s="74"/>
    </row>
    <row r="190" spans="3:28" ht="14.25" customHeight="1">
      <c r="C190" s="112" t="s">
        <v>190</v>
      </c>
      <c r="D190" s="109"/>
      <c r="E190" s="109"/>
      <c r="F190" s="113">
        <f>AJ61</f>
        <v>0.11929824561403508</v>
      </c>
      <c r="G190" s="113">
        <f>AK61</f>
        <v>9.3023255813953487E-2</v>
      </c>
      <c r="H190" s="262">
        <f t="shared" si="64"/>
        <v>3.3333333333333333E-2</v>
      </c>
      <c r="I190" s="263">
        <f t="shared" si="64"/>
        <v>0.5</v>
      </c>
      <c r="J190" s="263">
        <f t="shared" si="64"/>
        <v>0.2</v>
      </c>
      <c r="K190" s="263">
        <f t="shared" si="64"/>
        <v>0</v>
      </c>
      <c r="S190" s="91"/>
      <c r="U190" s="74"/>
      <c r="V190" s="74"/>
      <c r="W190" s="74"/>
      <c r="X190" s="74"/>
      <c r="Y190" s="74"/>
      <c r="Z190" s="74"/>
    </row>
    <row r="191" spans="3:28" ht="14.25" customHeight="1">
      <c r="C191" s="21" t="s">
        <v>193</v>
      </c>
      <c r="D191" s="21"/>
      <c r="E191" s="21"/>
      <c r="F191" s="107" t="str">
        <f>AJ58</f>
        <v/>
      </c>
      <c r="G191" s="107" t="str">
        <f>AK58</f>
        <v/>
      </c>
      <c r="H191" s="260" t="str">
        <f>AE58</f>
        <v/>
      </c>
      <c r="I191" s="261" t="str">
        <f>AF58</f>
        <v/>
      </c>
      <c r="J191" s="261" t="str">
        <f>AG58</f>
        <v/>
      </c>
      <c r="K191" s="261" t="str">
        <f>AH58</f>
        <v/>
      </c>
      <c r="T191" s="91"/>
    </row>
    <row r="192" spans="3:28" ht="14.25" customHeight="1">
      <c r="C192" s="71" t="s">
        <v>242</v>
      </c>
      <c r="D192" s="71"/>
      <c r="E192" s="71"/>
      <c r="F192" s="71"/>
      <c r="G192" s="71"/>
      <c r="H192" s="264"/>
      <c r="I192" s="265"/>
      <c r="J192" s="265"/>
      <c r="K192" s="265"/>
      <c r="T192" s="91"/>
      <c r="U192" s="91"/>
      <c r="V192" s="91"/>
      <c r="W192" s="91"/>
      <c r="X192" s="91"/>
      <c r="Y192" s="91"/>
      <c r="Z192" s="91"/>
    </row>
    <row r="193" spans="3:26" ht="14.25" customHeight="1">
      <c r="C193" s="21" t="s">
        <v>198</v>
      </c>
      <c r="D193" s="21"/>
      <c r="E193" s="21"/>
      <c r="F193" s="107">
        <f>AJ68</f>
        <v>0.44</v>
      </c>
      <c r="G193" s="107">
        <f>AK68</f>
        <v>0.58333333333333337</v>
      </c>
      <c r="H193" s="260">
        <f>AE68</f>
        <v>0.26666666666666666</v>
      </c>
      <c r="I193" s="261">
        <f>AF68</f>
        <v>0.13333333333333333</v>
      </c>
      <c r="J193" s="261">
        <f>AG68</f>
        <v>0.83333333333333337</v>
      </c>
      <c r="K193" s="261" t="e">
        <f>AH68</f>
        <v>#DIV/0!</v>
      </c>
      <c r="U193" s="91"/>
      <c r="V193" s="91"/>
      <c r="W193" s="91"/>
      <c r="X193" s="91"/>
      <c r="Y193" s="91"/>
      <c r="Z193" s="91"/>
    </row>
    <row r="194" spans="3:26" ht="14.25" customHeight="1">
      <c r="C194" s="21" t="s">
        <v>201</v>
      </c>
      <c r="D194" s="21"/>
      <c r="E194" s="21"/>
      <c r="F194" s="107">
        <f>AJ65</f>
        <v>0.57333333333333336</v>
      </c>
      <c r="G194" s="107">
        <f>AK65</f>
        <v>0.33333333333333331</v>
      </c>
      <c r="H194" s="260">
        <f>AE65</f>
        <v>0.93333333333333335</v>
      </c>
      <c r="I194" s="261">
        <f>AF65</f>
        <v>0.83333333333333337</v>
      </c>
      <c r="J194" s="261">
        <f>AG65</f>
        <v>0.13333333333333333</v>
      </c>
      <c r="K194" s="261" t="str">
        <f>AH65</f>
        <v>0%</v>
      </c>
    </row>
    <row r="195" spans="3:26" ht="14.25" customHeight="1">
      <c r="C195" s="112" t="s">
        <v>191</v>
      </c>
      <c r="D195" s="109"/>
      <c r="E195" s="109"/>
      <c r="F195" s="113">
        <f>AJ69</f>
        <v>0.52</v>
      </c>
      <c r="G195" s="113">
        <f>AK69</f>
        <v>0.25</v>
      </c>
      <c r="H195" s="262">
        <f t="shared" ref="H195:K196" si="65">AE69</f>
        <v>0.66666666666666663</v>
      </c>
      <c r="I195" s="263">
        <f t="shared" si="65"/>
        <v>0.83333333333333337</v>
      </c>
      <c r="J195" s="263">
        <f t="shared" si="65"/>
        <v>0.13333333333333333</v>
      </c>
      <c r="K195" s="263" t="e">
        <f t="shared" si="65"/>
        <v>#DIV/0!</v>
      </c>
    </row>
    <row r="196" spans="3:26">
      <c r="C196" s="112" t="s">
        <v>190</v>
      </c>
      <c r="D196" s="109"/>
      <c r="E196" s="109"/>
      <c r="F196" s="113">
        <f>AJ70</f>
        <v>5.3333333333333337E-2</v>
      </c>
      <c r="G196" s="113">
        <f>AK70</f>
        <v>8.3333333333333329E-2</v>
      </c>
      <c r="H196" s="262">
        <f t="shared" si="65"/>
        <v>0.26666666666666666</v>
      </c>
      <c r="I196" s="263">
        <f t="shared" si="65"/>
        <v>0</v>
      </c>
      <c r="J196" s="263">
        <f t="shared" si="65"/>
        <v>0</v>
      </c>
      <c r="K196" s="263" t="e">
        <f t="shared" si="65"/>
        <v>#DIV/0!</v>
      </c>
    </row>
    <row r="197" spans="3:26" ht="15" thickBot="1">
      <c r="C197" s="21" t="s">
        <v>193</v>
      </c>
      <c r="D197" s="21"/>
      <c r="E197" s="21"/>
      <c r="G197" s="107">
        <f>AK67</f>
        <v>3.3333333333333333E-2</v>
      </c>
      <c r="H197" s="266" t="str">
        <f>AE67</f>
        <v/>
      </c>
      <c r="I197" s="267" t="str">
        <f>AF67</f>
        <v/>
      </c>
      <c r="J197" s="267" t="e">
        <f>AH67</f>
        <v>#DIV/0!</v>
      </c>
      <c r="K197" s="267" t="str">
        <f>AG67</f>
        <v/>
      </c>
    </row>
    <row r="198" spans="3:26">
      <c r="C198" s="75"/>
      <c r="D198" s="75"/>
      <c r="E198" s="75"/>
      <c r="F198" s="75"/>
      <c r="G198" s="75"/>
      <c r="H198" s="75"/>
      <c r="I198" s="75"/>
      <c r="J198" s="75"/>
      <c r="K198" s="75"/>
    </row>
    <row r="199" spans="3:26">
      <c r="C199" s="289" t="s">
        <v>227</v>
      </c>
      <c r="D199" s="289"/>
      <c r="E199" s="289"/>
      <c r="F199" s="289"/>
      <c r="G199" s="289"/>
      <c r="H199" s="289"/>
      <c r="I199" s="289"/>
      <c r="J199" s="289"/>
      <c r="K199" s="289"/>
    </row>
    <row r="200" spans="3:26" ht="14.25" customHeight="1">
      <c r="C200" s="289"/>
      <c r="D200" s="289"/>
      <c r="E200" s="289"/>
      <c r="F200" s="289"/>
      <c r="G200" s="289"/>
      <c r="H200" s="289"/>
      <c r="I200" s="289"/>
      <c r="J200" s="289"/>
      <c r="K200" s="289"/>
    </row>
    <row r="201" spans="3:26" ht="18" customHeight="1">
      <c r="D201" s="6"/>
      <c r="E201" s="6"/>
      <c r="F201" s="6"/>
      <c r="G201" s="6"/>
      <c r="H201" s="6"/>
      <c r="I201" s="6"/>
    </row>
    <row r="202" spans="3:26" ht="19.5" customHeight="1">
      <c r="C202" s="292" t="str">
        <f>"Chart 7. "&amp;City_label&amp;" percent of all households experiencing housing cost burden, 2019"</f>
        <v>Chart 7. Algona percent of all households experiencing housing cost burden, 2019</v>
      </c>
      <c r="D202" s="292"/>
      <c r="E202" s="292"/>
      <c r="F202" s="292"/>
      <c r="G202" s="292"/>
      <c r="H202" s="292"/>
      <c r="I202" s="292"/>
      <c r="J202" s="292"/>
      <c r="K202" s="292"/>
      <c r="L202" s="292"/>
    </row>
    <row r="203" spans="3:26" ht="19.5" customHeight="1">
      <c r="C203" s="292"/>
      <c r="D203" s="292"/>
      <c r="E203" s="292"/>
      <c r="F203" s="292"/>
      <c r="G203" s="292"/>
      <c r="H203" s="292"/>
      <c r="I203" s="292"/>
      <c r="J203" s="292"/>
      <c r="K203" s="292"/>
      <c r="L203" s="292"/>
    </row>
    <row r="207" spans="3:26" ht="15">
      <c r="C207" s="31"/>
    </row>
    <row r="210" ht="12" customHeight="1"/>
    <row r="211" ht="18" customHeight="1"/>
    <row r="225" spans="3:13">
      <c r="C225" s="289" t="s">
        <v>227</v>
      </c>
      <c r="D225" s="289"/>
      <c r="E225" s="289"/>
      <c r="F225" s="289"/>
      <c r="G225" s="289"/>
      <c r="H225" s="289"/>
      <c r="I225" s="289"/>
      <c r="J225" s="289"/>
      <c r="K225" s="289"/>
      <c r="L225" s="289"/>
    </row>
    <row r="226" spans="3:13" ht="14.25" customHeight="1">
      <c r="C226" s="289"/>
      <c r="D226" s="289"/>
      <c r="E226" s="289"/>
      <c r="F226" s="289"/>
      <c r="G226" s="289"/>
      <c r="H226" s="289"/>
      <c r="I226" s="289"/>
      <c r="J226" s="289"/>
      <c r="K226" s="289"/>
      <c r="L226" s="289"/>
    </row>
    <row r="227" spans="3:13" ht="19.5" customHeight="1">
      <c r="C227" s="268"/>
      <c r="D227" s="268"/>
      <c r="E227" s="268"/>
      <c r="F227" s="268"/>
      <c r="G227" s="268"/>
      <c r="H227" s="268"/>
      <c r="I227" s="268"/>
      <c r="J227" s="268"/>
      <c r="K227" s="268"/>
    </row>
    <row r="228" spans="3:13" ht="18" customHeight="1">
      <c r="C228" s="292" t="str">
        <f>"Chart 7a. "&amp;City_label&amp;" percent of all households experiencing housing cost burden, 2019"</f>
        <v>Chart 7a. Algona percent of all households experiencing housing cost burden, 2019</v>
      </c>
      <c r="D228" s="292"/>
      <c r="E228" s="292"/>
      <c r="F228" s="292"/>
      <c r="G228" s="292"/>
      <c r="H228" s="292"/>
      <c r="I228" s="292"/>
      <c r="J228" s="292"/>
      <c r="K228" s="292"/>
      <c r="L228" s="292"/>
      <c r="M228" s="292"/>
    </row>
    <row r="229" spans="3:13" ht="18" customHeight="1">
      <c r="C229" s="292"/>
      <c r="D229" s="292"/>
      <c r="E229" s="292"/>
      <c r="F229" s="292"/>
      <c r="G229" s="292"/>
      <c r="H229" s="292"/>
      <c r="I229" s="292"/>
      <c r="J229" s="292"/>
      <c r="K229" s="292"/>
      <c r="L229" s="292"/>
      <c r="M229" s="292"/>
    </row>
    <row r="233" spans="3:13" ht="15">
      <c r="C233" s="31"/>
    </row>
    <row r="237" spans="3:13" ht="16.5" customHeight="1"/>
    <row r="238" spans="3:13" ht="16.5" customHeight="1"/>
    <row r="243" spans="3:13">
      <c r="C243" s="289" t="s">
        <v>227</v>
      </c>
      <c r="D243" s="289"/>
      <c r="E243" s="289"/>
      <c r="F243" s="289"/>
      <c r="G243" s="289"/>
      <c r="H243" s="289"/>
      <c r="I243" s="289"/>
      <c r="J243" s="289"/>
      <c r="K243" s="289"/>
    </row>
    <row r="244" spans="3:13" ht="16.5" customHeight="1">
      <c r="C244" s="289"/>
      <c r="D244" s="289"/>
      <c r="E244" s="289"/>
      <c r="F244" s="289"/>
      <c r="G244" s="289"/>
      <c r="H244" s="289"/>
      <c r="I244" s="289"/>
      <c r="J244" s="289"/>
      <c r="K244" s="289"/>
    </row>
    <row r="245" spans="3:13" ht="16.5" customHeight="1"/>
    <row r="246" spans="3:13" ht="18.75" customHeight="1">
      <c r="C246" s="292" t="str">
        <f>"Chart 8. "&amp;City_label&amp;" percent owner households experiencing housing cost burden, 2019"</f>
        <v>Chart 8. Algona percent owner households experiencing housing cost burden, 2019</v>
      </c>
      <c r="D246" s="292"/>
      <c r="E246" s="292"/>
      <c r="F246" s="292"/>
      <c r="G246" s="292"/>
      <c r="H246" s="292"/>
      <c r="I246" s="292"/>
      <c r="J246" s="292"/>
      <c r="K246" s="292"/>
      <c r="L246" s="292"/>
      <c r="M246" s="292"/>
    </row>
    <row r="247" spans="3:13" ht="18.75" customHeight="1">
      <c r="C247" s="292"/>
      <c r="D247" s="292"/>
      <c r="E247" s="292"/>
      <c r="F247" s="292"/>
      <c r="G247" s="292"/>
      <c r="H247" s="292"/>
      <c r="I247" s="292"/>
      <c r="J247" s="292"/>
      <c r="K247" s="292"/>
      <c r="L247" s="292"/>
      <c r="M247" s="292"/>
    </row>
    <row r="248" spans="3:13" ht="16.5" customHeight="1"/>
    <row r="249" spans="3:13" ht="16.5" customHeight="1">
      <c r="C249" s="31"/>
    </row>
    <row r="257" spans="3:13" ht="17.25" customHeight="1"/>
    <row r="267" spans="3:13">
      <c r="D267" s="74"/>
      <c r="E267" s="74"/>
      <c r="F267" s="74"/>
      <c r="G267" s="74"/>
      <c r="H267" s="74"/>
      <c r="I267" s="74"/>
      <c r="J267" s="74"/>
      <c r="K267" s="74"/>
      <c r="L267" s="74"/>
    </row>
    <row r="269" spans="3:13">
      <c r="C269" s="293" t="s">
        <v>227</v>
      </c>
      <c r="D269" s="293"/>
      <c r="E269" s="293"/>
      <c r="F269" s="293"/>
      <c r="G269" s="293"/>
      <c r="H269" s="293"/>
      <c r="I269" s="293"/>
      <c r="J269" s="293"/>
      <c r="K269" s="293"/>
      <c r="L269" s="293"/>
    </row>
    <row r="270" spans="3:13" ht="20.25" customHeight="1">
      <c r="C270" s="293"/>
      <c r="D270" s="293"/>
      <c r="E270" s="293"/>
      <c r="F270" s="293"/>
      <c r="G270" s="293"/>
      <c r="H270" s="293"/>
      <c r="I270" s="293"/>
      <c r="J270" s="293"/>
      <c r="K270" s="293"/>
      <c r="L270" s="293"/>
    </row>
    <row r="271" spans="3:13" ht="20.25" customHeight="1"/>
    <row r="272" spans="3:13" ht="18" customHeight="1">
      <c r="C272" s="292" t="str">
        <f>"Chart 8a. "&amp;City_label&amp;" percent owner households experiencing housing cost burden, 2019"</f>
        <v>Chart 8a. Algona percent owner households experiencing housing cost burden, 2019</v>
      </c>
      <c r="D272" s="292"/>
      <c r="E272" s="292"/>
      <c r="F272" s="292"/>
      <c r="G272" s="292"/>
      <c r="H272" s="292"/>
      <c r="I272" s="292"/>
      <c r="J272" s="292"/>
      <c r="K272" s="292"/>
      <c r="L272" s="292"/>
      <c r="M272" s="292"/>
    </row>
    <row r="273" spans="3:13" ht="18" customHeight="1">
      <c r="C273" s="292"/>
      <c r="D273" s="292"/>
      <c r="E273" s="292"/>
      <c r="F273" s="292"/>
      <c r="G273" s="292"/>
      <c r="H273" s="292"/>
      <c r="I273" s="292"/>
      <c r="J273" s="292"/>
      <c r="K273" s="292"/>
      <c r="L273" s="292"/>
      <c r="M273" s="292"/>
    </row>
    <row r="274" spans="3:13" ht="18.75" customHeight="1"/>
    <row r="275" spans="3:13" ht="18.75" customHeight="1">
      <c r="C275" s="31"/>
    </row>
    <row r="283" spans="3:13" ht="19.5" customHeight="1"/>
    <row r="284" spans="3:13" ht="19.5" customHeight="1"/>
    <row r="288" spans="3:13">
      <c r="C288" s="293" t="s">
        <v>227</v>
      </c>
      <c r="D288" s="293"/>
      <c r="E288" s="293"/>
      <c r="F288" s="293"/>
      <c r="G288" s="293"/>
      <c r="H288" s="293"/>
      <c r="I288" s="293"/>
      <c r="J288" s="293"/>
      <c r="K288" s="293"/>
      <c r="L288" s="293"/>
    </row>
    <row r="289" spans="3:13" ht="19.5" customHeight="1">
      <c r="C289" s="293"/>
      <c r="D289" s="293"/>
      <c r="E289" s="293"/>
      <c r="F289" s="293"/>
      <c r="G289" s="293"/>
      <c r="H289" s="293"/>
      <c r="I289" s="293"/>
      <c r="J289" s="293"/>
      <c r="K289" s="293"/>
      <c r="L289" s="293"/>
    </row>
    <row r="290" spans="3:13" ht="19.5" customHeight="1">
      <c r="C290" s="91"/>
      <c r="D290" s="91"/>
      <c r="E290" s="91"/>
      <c r="F290" s="91"/>
      <c r="G290" s="91"/>
      <c r="H290" s="91"/>
      <c r="I290" s="91"/>
      <c r="J290" s="91"/>
      <c r="K290" s="91"/>
      <c r="L290" s="91"/>
    </row>
    <row r="291" spans="3:13" ht="19.5" customHeight="1">
      <c r="C291" s="292" t="str">
        <f>"Chart 9. "&amp;City_label&amp;" percent renter households experiencing housing cost burden, 2019"</f>
        <v>Chart 9. Algona percent renter households experiencing housing cost burden, 2019</v>
      </c>
      <c r="D291" s="292"/>
      <c r="E291" s="292"/>
      <c r="F291" s="292"/>
      <c r="G291" s="292"/>
      <c r="H291" s="292"/>
      <c r="I291" s="292"/>
      <c r="J291" s="292"/>
      <c r="K291" s="292"/>
      <c r="L291" s="292"/>
      <c r="M291" s="292"/>
    </row>
    <row r="292" spans="3:13" ht="19.5" customHeight="1">
      <c r="C292" s="292"/>
      <c r="D292" s="292"/>
      <c r="E292" s="292"/>
      <c r="F292" s="292"/>
      <c r="G292" s="292"/>
      <c r="H292" s="292"/>
      <c r="I292" s="292"/>
      <c r="J292" s="292"/>
      <c r="K292" s="292"/>
      <c r="L292" s="292"/>
      <c r="M292" s="292"/>
    </row>
    <row r="293" spans="3:13" ht="16.5" customHeight="1">
      <c r="C293" s="31"/>
    </row>
    <row r="294" spans="3:13" ht="16.5" customHeight="1"/>
    <row r="302" spans="3:13" ht="18" customHeight="1"/>
    <row r="314" spans="3:13">
      <c r="C314" s="289" t="s">
        <v>227</v>
      </c>
      <c r="D314" s="289"/>
      <c r="E314" s="289"/>
      <c r="F314" s="289"/>
      <c r="G314" s="289"/>
      <c r="H314" s="289"/>
      <c r="I314" s="289"/>
      <c r="J314" s="289"/>
      <c r="K314" s="289"/>
    </row>
    <row r="315" spans="3:13" ht="21.75" customHeight="1">
      <c r="C315" s="289"/>
      <c r="D315" s="289"/>
      <c r="E315" s="289"/>
      <c r="F315" s="289"/>
      <c r="G315" s="289"/>
      <c r="H315" s="289"/>
      <c r="I315" s="289"/>
      <c r="J315" s="289"/>
      <c r="K315" s="289"/>
    </row>
    <row r="316" spans="3:13" ht="21.75" customHeight="1"/>
    <row r="317" spans="3:13" ht="18.75" customHeight="1">
      <c r="C317" s="292" t="str">
        <f>"Chart 9a. "&amp;City_label&amp;" percent renter households experiencing housing cost burden, 2019"</f>
        <v>Chart 9a. Algona percent renter households experiencing housing cost burden, 2019</v>
      </c>
      <c r="D317" s="292"/>
      <c r="E317" s="292"/>
      <c r="F317" s="292"/>
      <c r="G317" s="292"/>
      <c r="H317" s="292"/>
      <c r="I317" s="292"/>
      <c r="J317" s="292"/>
      <c r="K317" s="292"/>
      <c r="L317" s="292"/>
      <c r="M317" s="292"/>
    </row>
    <row r="318" spans="3:13" ht="18.75" customHeight="1">
      <c r="C318" s="292"/>
      <c r="D318" s="292"/>
      <c r="E318" s="292"/>
      <c r="F318" s="292"/>
      <c r="G318" s="292"/>
      <c r="H318" s="292"/>
      <c r="I318" s="292"/>
      <c r="J318" s="292"/>
      <c r="K318" s="292"/>
      <c r="L318" s="292"/>
      <c r="M318" s="292"/>
    </row>
    <row r="319" spans="3:13" ht="18.75" customHeight="1">
      <c r="C319" s="31"/>
    </row>
    <row r="320" spans="3:13" ht="18.75" customHeight="1"/>
    <row r="328" spans="3:11" ht="18" customHeight="1"/>
    <row r="333" spans="3:11">
      <c r="C333" s="289" t="s">
        <v>227</v>
      </c>
      <c r="D333" s="289"/>
      <c r="E333" s="289"/>
      <c r="F333" s="289"/>
      <c r="G333" s="289"/>
      <c r="H333" s="289"/>
      <c r="I333" s="289"/>
      <c r="J333" s="289"/>
      <c r="K333" s="289"/>
    </row>
    <row r="334" spans="3:11">
      <c r="C334" s="289"/>
      <c r="D334" s="289"/>
      <c r="E334" s="289"/>
      <c r="F334" s="289"/>
      <c r="G334" s="289"/>
      <c r="H334" s="289"/>
      <c r="I334" s="289"/>
      <c r="J334" s="289"/>
      <c r="K334" s="28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76"/>
      <c r="BQ2" s="176"/>
      <c r="BR2" s="176"/>
    </row>
    <row r="3" spans="3:70" ht="33.75" customHeight="1" thickBot="1">
      <c r="C3" s="4" t="s">
        <v>339</v>
      </c>
      <c r="D3" s="4"/>
      <c r="E3" s="4"/>
      <c r="F3" s="4"/>
      <c r="G3" s="4"/>
      <c r="H3" s="4"/>
      <c r="I3" s="4"/>
      <c r="J3" s="4"/>
      <c r="K3" s="4"/>
      <c r="L3" s="4"/>
      <c r="M3" s="4"/>
      <c r="N3" s="4"/>
      <c r="O3" s="4"/>
      <c r="P3" s="4"/>
      <c r="AA3" s="4" t="s">
        <v>125</v>
      </c>
      <c r="AB3" s="4"/>
      <c r="AC3" s="4"/>
      <c r="AD3" s="14"/>
      <c r="AE3" s="14"/>
      <c r="AF3" s="14"/>
      <c r="AG3" s="14"/>
      <c r="AH3" s="14"/>
      <c r="AI3" s="14"/>
      <c r="AJ3" s="14"/>
      <c r="AK3" s="14"/>
      <c r="AL3" s="14"/>
      <c r="AM3" s="14"/>
      <c r="AN3" s="14"/>
      <c r="AO3" s="14"/>
      <c r="AP3" s="14"/>
      <c r="AQ3" s="14"/>
      <c r="AR3" s="14"/>
      <c r="AS3" s="14"/>
      <c r="AT3" s="14"/>
      <c r="AU3" s="14"/>
      <c r="BA3" s="4" t="s">
        <v>183</v>
      </c>
      <c r="BB3" s="4"/>
      <c r="BC3" s="4"/>
      <c r="BD3" s="4"/>
      <c r="BE3" s="4"/>
      <c r="BF3" s="4"/>
      <c r="BG3" s="4"/>
      <c r="BH3" s="4"/>
      <c r="BI3" s="4"/>
      <c r="BJ3" s="4"/>
      <c r="BK3" s="4"/>
      <c r="BL3" s="4"/>
      <c r="BP3" s="176"/>
      <c r="BQ3" s="320" t="s">
        <v>340</v>
      </c>
      <c r="BR3" s="321"/>
    </row>
    <row r="4" spans="3:70" ht="15" thickTop="1">
      <c r="BP4" s="176"/>
      <c r="BQ4" s="322" t="s">
        <v>341</v>
      </c>
      <c r="BR4" s="323"/>
    </row>
    <row r="5" spans="3:70" ht="18" customHeight="1">
      <c r="C5" s="319" t="str">
        <f>"Table 5. "&amp;City_label&amp;" and "&amp;County_label&amp;" rental units by affordability and households by income, 2019"</f>
        <v>Table 5. Algona and King County rental units by affordability and households by income, 2019</v>
      </c>
      <c r="D5" s="319"/>
      <c r="E5" s="319"/>
      <c r="F5" s="319"/>
      <c r="G5" s="319"/>
      <c r="H5" s="319"/>
      <c r="I5" s="319"/>
      <c r="J5" s="319"/>
      <c r="K5" s="319"/>
      <c r="L5" s="319"/>
      <c r="AA5" s="16" t="s">
        <v>126</v>
      </c>
      <c r="AB5" s="295" t="str">
        <f>City</f>
        <v>Algona city, Washington</v>
      </c>
      <c r="AC5" s="295"/>
      <c r="BP5" s="192"/>
      <c r="BQ5" s="324"/>
      <c r="BR5" s="325"/>
    </row>
    <row r="6" spans="3:70" ht="18" customHeight="1">
      <c r="C6" s="319"/>
      <c r="D6" s="319"/>
      <c r="E6" s="319"/>
      <c r="F6" s="319"/>
      <c r="G6" s="319"/>
      <c r="H6" s="319"/>
      <c r="I6" s="319"/>
      <c r="J6" s="319"/>
      <c r="K6" s="319"/>
      <c r="L6" s="319"/>
      <c r="AA6" s="16" t="s">
        <v>127</v>
      </c>
      <c r="AB6" s="295" t="str">
        <f>County</f>
        <v>King County, Washington</v>
      </c>
      <c r="AC6" s="295"/>
      <c r="BB6" s="189"/>
      <c r="BE6" s="187"/>
      <c r="BH6" s="188"/>
      <c r="BK6" s="190"/>
      <c r="BP6" s="176"/>
      <c r="BQ6" s="177"/>
      <c r="BR6" s="178"/>
    </row>
    <row r="7" spans="3:70" ht="18" customHeight="1" thickBot="1">
      <c r="C7" s="43"/>
      <c r="AA7" s="16"/>
      <c r="BA7" s="307" t="s">
        <v>342</v>
      </c>
      <c r="BB7" s="307"/>
      <c r="BC7" s="307"/>
      <c r="BD7" s="307" t="s">
        <v>343</v>
      </c>
      <c r="BE7" s="307"/>
      <c r="BF7" s="307"/>
      <c r="BG7" s="307" t="s">
        <v>344</v>
      </c>
      <c r="BH7" s="307"/>
      <c r="BI7" s="307"/>
      <c r="BJ7" s="307" t="s">
        <v>345</v>
      </c>
      <c r="BK7" s="307"/>
      <c r="BL7" s="307"/>
    </row>
    <row r="8" spans="3:70" ht="19.5" customHeight="1">
      <c r="C8" s="208"/>
      <c r="D8" s="209"/>
      <c r="E8" s="209"/>
      <c r="F8" s="57" t="str">
        <f>City_label</f>
        <v>Algona</v>
      </c>
      <c r="G8" s="210"/>
      <c r="H8" s="209"/>
      <c r="I8" s="57" t="str">
        <f>City_label</f>
        <v>Algona</v>
      </c>
      <c r="J8" s="210"/>
      <c r="K8" s="57" t="str">
        <f>County_label</f>
        <v>King County</v>
      </c>
      <c r="L8" s="210"/>
      <c r="AA8" s="153" t="s">
        <v>346</v>
      </c>
      <c r="BA8" s="307"/>
      <c r="BB8" s="307"/>
      <c r="BC8" s="307"/>
      <c r="BD8" s="307"/>
      <c r="BE8" s="307"/>
      <c r="BF8" s="307"/>
      <c r="BG8" s="307"/>
      <c r="BH8" s="307"/>
      <c r="BI8" s="307"/>
      <c r="BJ8" s="307"/>
      <c r="BK8" s="307"/>
      <c r="BL8" s="307"/>
    </row>
    <row r="9" spans="3:70" ht="19.5" customHeight="1">
      <c r="C9" s="253"/>
      <c r="D9" s="21"/>
      <c r="E9" s="21"/>
      <c r="F9" s="316" t="s">
        <v>347</v>
      </c>
      <c r="G9" s="316" t="s">
        <v>348</v>
      </c>
      <c r="H9" s="21"/>
      <c r="I9" s="316" t="s">
        <v>347</v>
      </c>
      <c r="J9" s="316" t="s">
        <v>348</v>
      </c>
      <c r="K9" s="316" t="s">
        <v>347</v>
      </c>
      <c r="L9" s="316" t="s">
        <v>348</v>
      </c>
      <c r="AA9" s="51" t="s">
        <v>349</v>
      </c>
      <c r="AC9" s="49" t="s">
        <v>350</v>
      </c>
      <c r="AD9" s="49" t="s">
        <v>351</v>
      </c>
      <c r="AE9" s="49" t="s">
        <v>352</v>
      </c>
      <c r="AF9" s="49" t="s">
        <v>353</v>
      </c>
      <c r="AG9" s="49" t="s">
        <v>354</v>
      </c>
      <c r="AJ9" s="153" t="s">
        <v>355</v>
      </c>
    </row>
    <row r="10" spans="3:70" ht="16.5" customHeight="1">
      <c r="C10" s="62"/>
      <c r="D10" s="62"/>
      <c r="E10" s="62"/>
      <c r="F10" s="317"/>
      <c r="G10" s="317"/>
      <c r="H10" s="62"/>
      <c r="I10" s="317"/>
      <c r="J10" s="317"/>
      <c r="K10" s="317"/>
      <c r="L10" s="317"/>
      <c r="AC10" s="55" t="str">
        <f>City_label</f>
        <v>Algona</v>
      </c>
      <c r="AD10" s="55"/>
      <c r="AE10" s="211"/>
      <c r="AF10" s="55" t="str">
        <f>County_label</f>
        <v>King County</v>
      </c>
      <c r="AG10" s="55"/>
      <c r="AH10" s="211"/>
      <c r="AK10" s="55" t="str">
        <f>City_label</f>
        <v>Algona</v>
      </c>
      <c r="AL10" s="55"/>
      <c r="AM10" s="16"/>
      <c r="AN10" s="55" t="str">
        <f>County_label</f>
        <v>King County</v>
      </c>
      <c r="AO10" s="55"/>
      <c r="BA10" s="307"/>
      <c r="BB10" s="307"/>
      <c r="BC10" s="307"/>
      <c r="BD10" s="307"/>
      <c r="BE10" s="307"/>
      <c r="BF10" s="307"/>
      <c r="BG10" s="307"/>
      <c r="BH10" s="307"/>
      <c r="BI10" s="307"/>
      <c r="BJ10" s="307"/>
      <c r="BK10" s="307"/>
      <c r="BL10" s="307"/>
      <c r="BM10" s="196"/>
    </row>
    <row r="11" spans="3:70" ht="18" customHeight="1">
      <c r="C11" s="35" t="s">
        <v>356</v>
      </c>
      <c r="D11" s="21"/>
      <c r="E11" s="21"/>
      <c r="F11" s="199">
        <f t="shared" ref="F11:F16" si="0">AC22</f>
        <v>15</v>
      </c>
      <c r="G11" s="199">
        <f>SUM(AD22:AE22)</f>
        <v>20</v>
      </c>
      <c r="H11" s="200"/>
      <c r="I11" s="246">
        <f>AC22/$AC$27</f>
        <v>7.6923076923076927E-2</v>
      </c>
      <c r="J11" s="246">
        <f>SUM(AD22:AE22)/SUM($AD$27:$AE$27)</f>
        <v>0.10810810810810811</v>
      </c>
      <c r="K11" s="254">
        <f>AF22/$AF$27</f>
        <v>0.22588120663094</v>
      </c>
      <c r="L11" s="254">
        <f>SUM(AG22:AH22)/SUM($AG$27:$AH$27)</f>
        <v>0.10373726527512243</v>
      </c>
      <c r="AC11" s="16" t="s">
        <v>357</v>
      </c>
      <c r="AD11" s="16" t="s">
        <v>358</v>
      </c>
      <c r="AE11" s="16" t="s">
        <v>359</v>
      </c>
      <c r="AF11" s="16" t="s">
        <v>357</v>
      </c>
      <c r="AG11" s="16" t="s">
        <v>358</v>
      </c>
      <c r="AH11" s="16" t="s">
        <v>359</v>
      </c>
      <c r="AK11" s="16" t="s">
        <v>357</v>
      </c>
      <c r="AL11" s="16" t="s">
        <v>358</v>
      </c>
      <c r="AM11" s="16"/>
      <c r="AN11" s="16" t="s">
        <v>357</v>
      </c>
      <c r="AO11" s="16" t="s">
        <v>358</v>
      </c>
      <c r="BA11" s="307"/>
      <c r="BB11" s="307"/>
      <c r="BC11" s="307"/>
      <c r="BD11" s="307"/>
      <c r="BE11" s="307"/>
      <c r="BF11" s="307"/>
      <c r="BG11" s="307"/>
      <c r="BH11" s="307"/>
      <c r="BI11" s="307"/>
      <c r="BJ11" s="307"/>
      <c r="BK11" s="307"/>
      <c r="BL11" s="307"/>
    </row>
    <row r="12" spans="3:70" ht="18" customHeight="1">
      <c r="C12" s="35" t="s">
        <v>360</v>
      </c>
      <c r="D12" s="21"/>
      <c r="E12" s="21"/>
      <c r="F12" s="199">
        <f t="shared" si="0"/>
        <v>75</v>
      </c>
      <c r="G12" s="199">
        <f t="shared" ref="G12:G14" si="1">SUM(AD23:AE23)</f>
        <v>110</v>
      </c>
      <c r="H12" s="200"/>
      <c r="I12" s="246">
        <f t="shared" ref="I12:I15" si="2">AC23/$AC$27</f>
        <v>0.38461538461538464</v>
      </c>
      <c r="J12" s="246">
        <f t="shared" ref="J12:J14" si="3">SUM(AD23:AE23)/SUM($AD$27:$AE$27)</f>
        <v>0.59459459459459463</v>
      </c>
      <c r="K12" s="254">
        <f t="shared" ref="K12:K15" si="4">AF23/$AF$27</f>
        <v>0.15602986293072801</v>
      </c>
      <c r="L12" s="254">
        <f t="shared" ref="L12:L14" si="5">SUM(AG23:AH23)/SUM($AG$27:$AH$27)</f>
        <v>0.2016080454652594</v>
      </c>
      <c r="AA12" s="7" t="s">
        <v>342</v>
      </c>
      <c r="AC12" s="103" t="s">
        <v>361</v>
      </c>
      <c r="AD12" s="103" t="s">
        <v>362</v>
      </c>
      <c r="AE12" s="103" t="s">
        <v>363</v>
      </c>
      <c r="AF12" s="103" t="s">
        <v>361</v>
      </c>
      <c r="AG12" s="103" t="s">
        <v>362</v>
      </c>
      <c r="AH12" s="103" t="s">
        <v>363</v>
      </c>
      <c r="AJ12" s="7" t="s">
        <v>342</v>
      </c>
      <c r="AK12" s="213">
        <f>AC22/$AC$27</f>
        <v>7.6923076923076927E-2</v>
      </c>
      <c r="AL12" s="213">
        <f>SUM(AD22:AE22)/SUM($AD$27:$AE$27)</f>
        <v>0.10810810810810811</v>
      </c>
      <c r="AN12" s="213">
        <f>AF22/AF$27</f>
        <v>0.22588120663094</v>
      </c>
      <c r="AO12" s="213">
        <f>SUM(AG22:AH22)/SUM($AG$27:$AH$27)</f>
        <v>0.10373726527512243</v>
      </c>
      <c r="BA12" s="307"/>
      <c r="BB12" s="307"/>
      <c r="BC12" s="307"/>
      <c r="BD12" s="307"/>
      <c r="BE12" s="307"/>
      <c r="BF12" s="307"/>
      <c r="BG12" s="307"/>
      <c r="BH12" s="307"/>
      <c r="BI12" s="307"/>
      <c r="BJ12" s="307"/>
      <c r="BK12" s="307"/>
      <c r="BL12" s="307"/>
    </row>
    <row r="13" spans="3:70" ht="18" customHeight="1">
      <c r="C13" s="35" t="s">
        <v>364</v>
      </c>
      <c r="D13" s="21"/>
      <c r="E13" s="21"/>
      <c r="F13" s="199">
        <f t="shared" si="0"/>
        <v>60</v>
      </c>
      <c r="G13" s="199">
        <f t="shared" si="1"/>
        <v>45</v>
      </c>
      <c r="H13" s="200"/>
      <c r="I13" s="246">
        <f t="shared" si="2"/>
        <v>0.30769230769230771</v>
      </c>
      <c r="J13" s="246">
        <f t="shared" si="3"/>
        <v>0.24324324324324326</v>
      </c>
      <c r="K13" s="254">
        <f t="shared" si="4"/>
        <v>0.13655575598772829</v>
      </c>
      <c r="L13" s="254">
        <f t="shared" si="5"/>
        <v>0.30509650891758111</v>
      </c>
      <c r="AA13" s="7" t="s">
        <v>343</v>
      </c>
      <c r="AC13" s="103" t="s">
        <v>365</v>
      </c>
      <c r="AD13" s="103" t="s">
        <v>366</v>
      </c>
      <c r="AE13" s="103" t="s">
        <v>367</v>
      </c>
      <c r="AF13" s="103" t="s">
        <v>365</v>
      </c>
      <c r="AG13" s="103" t="s">
        <v>366</v>
      </c>
      <c r="AH13" s="103" t="s">
        <v>367</v>
      </c>
      <c r="AJ13" s="7" t="s">
        <v>343</v>
      </c>
      <c r="AK13" s="213">
        <f>AC23/$AC$27</f>
        <v>0.38461538461538464</v>
      </c>
      <c r="AL13" s="213">
        <f t="shared" ref="AL13:AL15" si="6">SUM(AD23:AE23)/SUM($AD$27:$AE$27)</f>
        <v>0.59459459459459463</v>
      </c>
      <c r="AN13" s="213">
        <f t="shared" ref="AN13:AN14" si="7">AF23/AF$27</f>
        <v>0.15602986293072801</v>
      </c>
      <c r="AO13" s="213">
        <f t="shared" ref="AO13:AO15" si="8">SUM(AG23:AH23)/SUM($AG$27:$AH$27)</f>
        <v>0.2016080454652594</v>
      </c>
    </row>
    <row r="14" spans="3:70" ht="18" customHeight="1">
      <c r="C14" s="35" t="s">
        <v>368</v>
      </c>
      <c r="D14" s="21"/>
      <c r="E14" s="21"/>
      <c r="F14" s="201">
        <f t="shared" si="0"/>
        <v>30</v>
      </c>
      <c r="G14" s="199">
        <f t="shared" si="1"/>
        <v>10</v>
      </c>
      <c r="H14" s="202"/>
      <c r="I14" s="246">
        <f t="shared" si="2"/>
        <v>0.15384615384615385</v>
      </c>
      <c r="J14" s="246">
        <f t="shared" si="3"/>
        <v>5.4054054054054057E-2</v>
      </c>
      <c r="K14" s="254">
        <f t="shared" si="4"/>
        <v>0.10703516926277536</v>
      </c>
      <c r="L14" s="254">
        <f t="shared" si="5"/>
        <v>0.38954508550925804</v>
      </c>
      <c r="AA14" s="7" t="s">
        <v>344</v>
      </c>
      <c r="AC14" s="103" t="s">
        <v>369</v>
      </c>
      <c r="AD14" s="103" t="s">
        <v>370</v>
      </c>
      <c r="AE14" s="103" t="s">
        <v>371</v>
      </c>
      <c r="AF14" s="103" t="s">
        <v>369</v>
      </c>
      <c r="AG14" s="103" t="s">
        <v>370</v>
      </c>
      <c r="AH14" s="103" t="s">
        <v>371</v>
      </c>
      <c r="AJ14" s="7" t="s">
        <v>344</v>
      </c>
      <c r="AK14" s="213">
        <f>AC24/$AC$27</f>
        <v>0.30769230769230771</v>
      </c>
      <c r="AL14" s="213">
        <f t="shared" si="6"/>
        <v>0.24324324324324326</v>
      </c>
      <c r="AN14" s="213">
        <f t="shared" si="7"/>
        <v>0.13655575598772829</v>
      </c>
      <c r="AO14" s="213">
        <f t="shared" si="8"/>
        <v>0.30509650891758111</v>
      </c>
      <c r="BP14" s="176"/>
      <c r="BQ14" s="176"/>
      <c r="BR14" s="176"/>
    </row>
    <row r="15" spans="3:70" ht="18" customHeight="1">
      <c r="C15" s="62" t="s">
        <v>372</v>
      </c>
      <c r="D15" s="62"/>
      <c r="E15" s="62"/>
      <c r="F15" s="203">
        <f t="shared" si="0"/>
        <v>15</v>
      </c>
      <c r="G15" s="203">
        <f>AD26</f>
        <v>0</v>
      </c>
      <c r="H15" s="204"/>
      <c r="I15" s="255">
        <f t="shared" si="2"/>
        <v>7.6923076923076927E-2</v>
      </c>
      <c r="J15" s="255"/>
      <c r="K15" s="256">
        <f t="shared" si="4"/>
        <v>0.37449800518782833</v>
      </c>
      <c r="L15" s="256"/>
      <c r="AA15" s="7" t="s">
        <v>373</v>
      </c>
      <c r="AC15" s="103" t="s">
        <v>374</v>
      </c>
      <c r="AD15" s="103" t="s">
        <v>375</v>
      </c>
      <c r="AE15" s="103" t="s">
        <v>376</v>
      </c>
      <c r="AF15" s="103" t="s">
        <v>374</v>
      </c>
      <c r="AG15" s="103" t="s">
        <v>375</v>
      </c>
      <c r="AH15" s="103" t="s">
        <v>376</v>
      </c>
      <c r="AJ15" s="7" t="s">
        <v>373</v>
      </c>
      <c r="AK15" s="215">
        <f>SUM(AC25:AC26)/$AC$27</f>
        <v>0.23076923076923078</v>
      </c>
      <c r="AL15" s="215">
        <f t="shared" si="6"/>
        <v>5.4054054054054057E-2</v>
      </c>
      <c r="AM15" s="27"/>
      <c r="AN15" s="215">
        <f>SUM(AF25:AF26)/AF$27</f>
        <v>0.48153317445060373</v>
      </c>
      <c r="AO15" s="215">
        <f t="shared" si="8"/>
        <v>0.38954508550925804</v>
      </c>
      <c r="BA15" s="7"/>
      <c r="BP15" s="176"/>
      <c r="BQ15" s="328" t="s">
        <v>377</v>
      </c>
      <c r="BR15" s="329"/>
    </row>
    <row r="16" spans="3:70" ht="18" customHeight="1">
      <c r="C16" s="73" t="s">
        <v>149</v>
      </c>
      <c r="D16" s="16"/>
      <c r="E16" s="16"/>
      <c r="F16" s="212">
        <f t="shared" si="0"/>
        <v>195</v>
      </c>
      <c r="G16" s="212">
        <f>SUM(G11:G15)</f>
        <v>185</v>
      </c>
      <c r="AA16" s="20" t="s">
        <v>378</v>
      </c>
      <c r="AC16" s="103" t="s">
        <v>379</v>
      </c>
      <c r="AD16" s="103"/>
      <c r="AE16" s="103"/>
      <c r="AF16" s="103" t="s">
        <v>379</v>
      </c>
      <c r="AG16" s="103"/>
      <c r="AH16" s="103"/>
      <c r="AJ16" s="20"/>
      <c r="AK16" s="214">
        <f>SUM(AK12:AK15)</f>
        <v>1</v>
      </c>
      <c r="AL16" s="214">
        <f>SUM(AL12:AL15)</f>
        <v>1</v>
      </c>
      <c r="AN16" s="214">
        <f t="shared" ref="AN16:AO16" si="9">SUM(AN12:AN15)</f>
        <v>1</v>
      </c>
      <c r="AO16" s="214">
        <f t="shared" si="9"/>
        <v>0.999986905167221</v>
      </c>
      <c r="BA16" s="7"/>
      <c r="BP16" s="176"/>
      <c r="BQ16" s="330"/>
      <c r="BR16" s="331"/>
    </row>
    <row r="17" spans="3:71" ht="14.25" customHeight="1">
      <c r="C17" s="326" t="s">
        <v>380</v>
      </c>
      <c r="D17" s="326"/>
      <c r="E17" s="326"/>
      <c r="F17" s="326"/>
      <c r="G17" s="326"/>
      <c r="H17" s="326"/>
      <c r="I17" s="326"/>
      <c r="J17" s="326"/>
      <c r="K17" s="326"/>
      <c r="L17" s="326"/>
      <c r="AA17" s="7" t="s">
        <v>189</v>
      </c>
      <c r="AC17" s="103" t="s">
        <v>381</v>
      </c>
      <c r="AD17" s="103" t="s">
        <v>382</v>
      </c>
      <c r="AE17" s="103" t="s">
        <v>383</v>
      </c>
      <c r="AF17" s="103" t="s">
        <v>381</v>
      </c>
      <c r="AG17" s="103" t="s">
        <v>382</v>
      </c>
      <c r="AH17" s="103" t="s">
        <v>383</v>
      </c>
      <c r="BA17" s="7"/>
      <c r="BP17" s="192"/>
      <c r="BQ17" s="197" t="s">
        <v>384</v>
      </c>
      <c r="BR17" s="197"/>
    </row>
    <row r="18" spans="3:71" ht="17.45" customHeight="1">
      <c r="C18" s="327"/>
      <c r="D18" s="327"/>
      <c r="E18" s="327"/>
      <c r="F18" s="327"/>
      <c r="G18" s="327"/>
      <c r="H18" s="327"/>
      <c r="I18" s="327"/>
      <c r="J18" s="327"/>
      <c r="K18" s="327"/>
      <c r="L18" s="327"/>
      <c r="BA18" s="7"/>
      <c r="BQ18" s="176"/>
      <c r="BR18" s="197"/>
      <c r="BS18" s="197"/>
    </row>
    <row r="19" spans="3:71" ht="17.45" customHeight="1">
      <c r="AJ19" s="49"/>
      <c r="BQ19" s="193"/>
      <c r="BR19" s="176"/>
      <c r="BS19" s="194"/>
    </row>
    <row r="20" spans="3:71" ht="20.25" customHeight="1">
      <c r="C20" s="292" t="str">
        <f>"Chart 10. "&amp;City_label&amp;" and "&amp;County_label&amp;" renter household income compared to rental unit affordability, 2019"</f>
        <v>Chart 10. Algona and King County renter household income compared to rental unit affordability, 2019</v>
      </c>
      <c r="D20" s="292"/>
      <c r="E20" s="292"/>
      <c r="F20" s="292"/>
      <c r="G20" s="292"/>
      <c r="H20" s="292"/>
      <c r="I20" s="292"/>
      <c r="J20" s="292"/>
      <c r="K20" s="292"/>
      <c r="L20" s="292"/>
      <c r="AA20" s="23"/>
      <c r="AC20" s="55" t="str">
        <f>City_label</f>
        <v>Algona</v>
      </c>
      <c r="AD20" s="55"/>
      <c r="AE20" s="55"/>
      <c r="AF20" s="55" t="str">
        <f>County_label</f>
        <v>King County</v>
      </c>
      <c r="AG20" s="55"/>
    </row>
    <row r="21" spans="3:71" ht="20.25" customHeight="1">
      <c r="C21" s="292"/>
      <c r="D21" s="292"/>
      <c r="E21" s="292"/>
      <c r="F21" s="292"/>
      <c r="G21" s="292"/>
      <c r="H21" s="292"/>
      <c r="I21" s="292"/>
      <c r="J21" s="292"/>
      <c r="K21" s="292"/>
      <c r="L21" s="292"/>
      <c r="AA21" s="7"/>
      <c r="AC21" t="s">
        <v>357</v>
      </c>
      <c r="AD21" t="s">
        <v>358</v>
      </c>
      <c r="AE21" t="s">
        <v>359</v>
      </c>
      <c r="AF21" t="s">
        <v>357</v>
      </c>
      <c r="AG21" t="s">
        <v>358</v>
      </c>
      <c r="AH21" t="s">
        <v>359</v>
      </c>
    </row>
    <row r="22" spans="3:71" ht="17.25" customHeight="1">
      <c r="AA22" s="7" t="s">
        <v>342</v>
      </c>
      <c r="AC22" s="1">
        <v>15</v>
      </c>
      <c r="AD22" s="1">
        <v>20</v>
      </c>
      <c r="AE22" s="1">
        <v>0</v>
      </c>
      <c r="AF22" s="1">
        <v>85775</v>
      </c>
      <c r="AG22" s="1">
        <v>39040</v>
      </c>
      <c r="AH22" s="1">
        <v>570</v>
      </c>
    </row>
    <row r="23" spans="3:71" ht="17.25" customHeight="1">
      <c r="AA23" s="7" t="s">
        <v>343</v>
      </c>
      <c r="AC23" s="1">
        <v>75</v>
      </c>
      <c r="AD23" s="1">
        <v>110</v>
      </c>
      <c r="AE23" s="1">
        <v>0</v>
      </c>
      <c r="AF23" s="1">
        <v>59250</v>
      </c>
      <c r="AG23" s="1">
        <v>74720</v>
      </c>
      <c r="AH23" s="1">
        <v>2260</v>
      </c>
    </row>
    <row r="24" spans="3:71" ht="17.25" customHeight="1">
      <c r="C24" s="43"/>
      <c r="AA24" s="7" t="s">
        <v>344</v>
      </c>
      <c r="AC24" s="1">
        <v>60</v>
      </c>
      <c r="AD24" s="1">
        <v>45</v>
      </c>
      <c r="AE24" s="1">
        <v>0</v>
      </c>
      <c r="AF24" s="1">
        <v>51855</v>
      </c>
      <c r="AG24" s="1">
        <v>113030</v>
      </c>
      <c r="AH24" s="1">
        <v>3465</v>
      </c>
    </row>
    <row r="25" spans="3:71" ht="17.25" customHeight="1">
      <c r="C25" s="43"/>
      <c r="AA25" s="7" t="s">
        <v>373</v>
      </c>
      <c r="AC25" s="1">
        <v>30</v>
      </c>
      <c r="AD25" s="1">
        <v>10</v>
      </c>
      <c r="AE25" s="1">
        <v>0</v>
      </c>
      <c r="AF25" s="1">
        <v>40645</v>
      </c>
      <c r="AG25" s="1">
        <v>143060</v>
      </c>
      <c r="AH25" s="1">
        <v>5680</v>
      </c>
    </row>
    <row r="26" spans="3:71" ht="17.25" customHeight="1">
      <c r="C26" s="43"/>
      <c r="AA26" s="20" t="s">
        <v>378</v>
      </c>
      <c r="AC26" s="1">
        <v>15</v>
      </c>
      <c r="AD26" s="1"/>
      <c r="AE26" s="1"/>
      <c r="AF26" s="1">
        <v>142210</v>
      </c>
      <c r="AG26" s="1"/>
      <c r="AH26" s="1"/>
      <c r="AI26" s="23"/>
    </row>
    <row r="27" spans="3:71" ht="18">
      <c r="C27" s="43"/>
      <c r="AA27" s="7" t="s">
        <v>189</v>
      </c>
      <c r="AC27" s="2">
        <v>195</v>
      </c>
      <c r="AD27" s="1">
        <v>185</v>
      </c>
      <c r="AE27" s="1">
        <v>0</v>
      </c>
      <c r="AF27" s="2">
        <v>379735</v>
      </c>
      <c r="AG27" s="1">
        <v>369855</v>
      </c>
      <c r="AH27" s="1">
        <v>11975</v>
      </c>
    </row>
    <row r="30" spans="3:71" ht="15">
      <c r="AA30" s="116" t="s">
        <v>385</v>
      </c>
    </row>
    <row r="32" spans="3:71">
      <c r="AA32" s="51"/>
      <c r="AC32" s="49"/>
    </row>
    <row r="33" spans="3:39" ht="14.25" customHeight="1">
      <c r="AF33" s="23"/>
      <c r="AG33" s="49" t="s">
        <v>133</v>
      </c>
    </row>
    <row r="34" spans="3:39" ht="14.25" customHeight="1">
      <c r="AB34" s="39" t="s">
        <v>386</v>
      </c>
      <c r="AC34" s="207" t="s">
        <v>387</v>
      </c>
      <c r="AD34" s="207" t="s">
        <v>348</v>
      </c>
      <c r="AE34" s="39" t="s">
        <v>388</v>
      </c>
      <c r="AF34" s="23"/>
      <c r="AG34" s="39" t="s">
        <v>389</v>
      </c>
      <c r="AH34" s="39" t="s">
        <v>390</v>
      </c>
      <c r="AI34" s="39" t="s">
        <v>386</v>
      </c>
    </row>
    <row r="35" spans="3:39" ht="14.25" customHeight="1">
      <c r="AA35" s="7" t="s">
        <v>342</v>
      </c>
      <c r="AB35" s="155" t="s">
        <v>391</v>
      </c>
      <c r="AC35" s="5">
        <f>AC22</f>
        <v>15</v>
      </c>
      <c r="AD35" s="25">
        <f>SUM(AD22:AE22)</f>
        <v>20</v>
      </c>
      <c r="AE35" s="179">
        <f>AD35-AC35</f>
        <v>5</v>
      </c>
      <c r="AF35" s="23"/>
      <c r="AG35" s="5">
        <f>MAX(AC35,AD35)</f>
        <v>20</v>
      </c>
      <c r="AH35" s="5">
        <f>AG35+$AH$39</f>
        <v>27.5</v>
      </c>
      <c r="AI35" t="str">
        <f>IF(AE35&lt;0,"Shortfall:",IF(AE35&gt;0,"Surplus: ",""))&amp;CHAR(10)&amp;TEXT((AE35),"+#,##0;-#,##0;0")&amp;" units"</f>
        <v>Surplus: 
+5 units</v>
      </c>
    </row>
    <row r="36" spans="3:39">
      <c r="AA36" s="7" t="s">
        <v>343</v>
      </c>
      <c r="AB36" s="155" t="s">
        <v>392</v>
      </c>
      <c r="AC36" s="5">
        <f>AC23</f>
        <v>75</v>
      </c>
      <c r="AD36" s="25">
        <f>SUM(AD23:AE23)</f>
        <v>110</v>
      </c>
      <c r="AE36" s="179">
        <f>AD36-AC36</f>
        <v>35</v>
      </c>
      <c r="AF36" s="23"/>
      <c r="AG36" s="5">
        <f>MAX(AC36,AD36)</f>
        <v>110</v>
      </c>
      <c r="AH36" s="5">
        <f>AG36+$AH$39</f>
        <v>117.5</v>
      </c>
      <c r="AI36" t="str">
        <f>IF(AE36&lt;0,"Shortfall:",IF(AE36&gt;0,"Surplus: ",""))&amp;CHAR(10)&amp;TEXT((AE36),"+#,##0;-#,##0;0")&amp;" units"</f>
        <v>Surplus: 
+35 units</v>
      </c>
    </row>
    <row r="37" spans="3:39">
      <c r="AA37" s="7" t="s">
        <v>344</v>
      </c>
      <c r="AB37" s="155" t="s">
        <v>393</v>
      </c>
      <c r="AC37" s="5">
        <f>AC24</f>
        <v>60</v>
      </c>
      <c r="AD37" s="25">
        <f>SUM(AD24:AE24)</f>
        <v>45</v>
      </c>
      <c r="AE37" s="179">
        <f>AD37-AC37</f>
        <v>-15</v>
      </c>
      <c r="AF37" s="23"/>
      <c r="AG37" s="5">
        <f>MAX(AC37,AD37)</f>
        <v>60</v>
      </c>
      <c r="AH37" s="5">
        <f>AG37+$AH$39</f>
        <v>67.5</v>
      </c>
      <c r="AI37" t="str">
        <f>IF(AE37&lt;0,"Shortfall:",IF(AE37&gt;0,"Surplus: ",""))&amp;CHAR(10)&amp;TEXT((AE37),"+#,##0;-#,##0;0")&amp;" units"</f>
        <v>Shortfall:
-15 units</v>
      </c>
    </row>
    <row r="38" spans="3:39">
      <c r="AA38" s="7" t="s">
        <v>373</v>
      </c>
      <c r="AB38" s="155" t="s">
        <v>394</v>
      </c>
      <c r="AC38" s="5">
        <f>SUM(AC25:AC26)</f>
        <v>45</v>
      </c>
      <c r="AD38" s="25">
        <f>SUM(AD25:AE25)</f>
        <v>10</v>
      </c>
      <c r="AE38" s="179">
        <f>AD38-AC38</f>
        <v>-35</v>
      </c>
      <c r="AF38" s="23"/>
      <c r="AG38" s="5">
        <f>MAX(AC38,AD38)</f>
        <v>45</v>
      </c>
      <c r="AH38" s="5">
        <f>AG38+$AH$39</f>
        <v>52.5</v>
      </c>
      <c r="AI38" t="str">
        <f>IF(AE38&lt;0,"Shortfall:",IF(AE38&gt;0,"Surplus: ",""))&amp;CHAR(10)&amp;TEXT((AE38),"+#,##0;-#,##0;0")&amp;" units"</f>
        <v>Shortfall:
-35 units</v>
      </c>
    </row>
    <row r="39" spans="3:39">
      <c r="AA39" s="20" t="s">
        <v>378</v>
      </c>
      <c r="AC39" s="5">
        <f>AC27</f>
        <v>195</v>
      </c>
      <c r="AD39" s="25">
        <f>SUM(AD27:AE27)</f>
        <v>185</v>
      </c>
      <c r="AE39" s="25"/>
      <c r="AF39" s="23"/>
      <c r="AG39" s="51" t="s">
        <v>395</v>
      </c>
      <c r="AH39" s="101">
        <f>0.1*MAX(AC35:AC37)</f>
        <v>7.5</v>
      </c>
    </row>
    <row r="40" spans="3:39">
      <c r="AA40" s="7" t="s">
        <v>189</v>
      </c>
    </row>
    <row r="42" spans="3:39" ht="15" customHeight="1">
      <c r="C42" s="269" t="s">
        <v>396</v>
      </c>
      <c r="D42" s="269"/>
      <c r="E42" s="269"/>
      <c r="F42" s="269"/>
      <c r="G42" s="269"/>
      <c r="H42" s="269"/>
      <c r="I42" s="269"/>
      <c r="J42" s="269"/>
      <c r="AA42" s="116" t="s">
        <v>397</v>
      </c>
    </row>
    <row r="43" spans="3:39" ht="18" customHeight="1">
      <c r="C43" s="269"/>
      <c r="D43" s="269"/>
      <c r="E43" s="269"/>
      <c r="F43" s="269"/>
      <c r="G43" s="269"/>
      <c r="H43" s="269"/>
      <c r="I43" s="269"/>
      <c r="J43" s="269"/>
    </row>
    <row r="44" spans="3:39" ht="18" customHeight="1">
      <c r="AA44" s="51" t="s">
        <v>349</v>
      </c>
      <c r="AB44" s="23"/>
      <c r="AC44" s="49" t="s">
        <v>398</v>
      </c>
      <c r="AD44" s="49" t="s">
        <v>398</v>
      </c>
      <c r="AE44" s="49" t="s">
        <v>399</v>
      </c>
      <c r="AF44" s="49"/>
      <c r="AG44" s="49"/>
    </row>
    <row r="45" spans="3:39" ht="21" customHeight="1">
      <c r="C45" s="319" t="str">
        <f>"Chart 11. "&amp;City_label&amp;" renter households by income compared to rental units by affordability, 2019"</f>
        <v>Chart 11. Algona renter households by income compared to rental units by affordability, 2019</v>
      </c>
      <c r="D45" s="319"/>
      <c r="E45" s="319"/>
      <c r="F45" s="319"/>
      <c r="G45" s="319"/>
      <c r="H45" s="319"/>
      <c r="I45" s="319"/>
      <c r="J45" s="319"/>
      <c r="K45" s="319"/>
      <c r="L45" s="319"/>
      <c r="AA45" s="23"/>
      <c r="AB45" s="23"/>
      <c r="AC45" s="53" t="s">
        <v>400</v>
      </c>
      <c r="AD45" s="53" t="s">
        <v>401</v>
      </c>
      <c r="AE45" s="53" t="s">
        <v>402</v>
      </c>
      <c r="AJ45" s="23"/>
      <c r="AK45" s="23"/>
      <c r="AL45" s="23"/>
      <c r="AM45" s="23"/>
    </row>
    <row r="46" spans="3:39" ht="21" customHeight="1">
      <c r="C46" s="319"/>
      <c r="D46" s="319"/>
      <c r="E46" s="319"/>
      <c r="F46" s="319"/>
      <c r="G46" s="319"/>
      <c r="H46" s="319"/>
      <c r="I46" s="319"/>
      <c r="J46" s="319"/>
      <c r="K46" s="319"/>
      <c r="L46" s="319"/>
      <c r="AA46" s="7" t="s">
        <v>342</v>
      </c>
      <c r="AB46" s="23"/>
      <c r="AC46" s="103" t="s">
        <v>361</v>
      </c>
      <c r="AD46" s="103" t="s">
        <v>362</v>
      </c>
      <c r="AE46" s="103" t="s">
        <v>363</v>
      </c>
    </row>
    <row r="47" spans="3:39" ht="18">
      <c r="C47" s="183"/>
      <c r="D47" s="183"/>
      <c r="E47" s="183"/>
      <c r="F47" s="183"/>
      <c r="G47" s="183"/>
      <c r="H47" s="183"/>
      <c r="I47" s="183"/>
      <c r="J47" s="183"/>
      <c r="K47" s="183"/>
      <c r="L47" s="183"/>
      <c r="AA47" s="7" t="s">
        <v>343</v>
      </c>
      <c r="AB47" s="23"/>
      <c r="AC47" s="103" t="s">
        <v>365</v>
      </c>
      <c r="AD47" s="103" t="s">
        <v>366</v>
      </c>
      <c r="AE47" s="103" t="s">
        <v>367</v>
      </c>
    </row>
    <row r="48" spans="3:39">
      <c r="AA48" s="7" t="s">
        <v>344</v>
      </c>
      <c r="AB48" s="23"/>
      <c r="AC48" s="103" t="s">
        <v>369</v>
      </c>
      <c r="AD48" s="103" t="s">
        <v>370</v>
      </c>
      <c r="AE48" s="103" t="s">
        <v>371</v>
      </c>
    </row>
    <row r="49" spans="27:39">
      <c r="AA49" s="7" t="s">
        <v>373</v>
      </c>
      <c r="AB49" s="23"/>
      <c r="AC49" s="103" t="s">
        <v>374</v>
      </c>
      <c r="AD49" s="103" t="s">
        <v>375</v>
      </c>
      <c r="AE49" s="103" t="s">
        <v>376</v>
      </c>
    </row>
    <row r="50" spans="27:39">
      <c r="AA50" s="20" t="s">
        <v>378</v>
      </c>
      <c r="AB50" s="23"/>
      <c r="AC50" s="103" t="s">
        <v>379</v>
      </c>
      <c r="AD50" s="103"/>
      <c r="AE50" s="103"/>
    </row>
    <row r="51" spans="27:39" ht="14.25" customHeight="1">
      <c r="AA51" s="7" t="s">
        <v>189</v>
      </c>
      <c r="AB51" s="23"/>
      <c r="AC51" s="103" t="s">
        <v>381</v>
      </c>
      <c r="AD51" s="103" t="s">
        <v>382</v>
      </c>
      <c r="AE51" s="103" t="s">
        <v>383</v>
      </c>
      <c r="AF51" s="23"/>
      <c r="AG51" s="23"/>
    </row>
    <row r="52" spans="27:39" ht="14.25" customHeight="1">
      <c r="AD52" s="23"/>
      <c r="AE52" s="23"/>
      <c r="AF52" s="23"/>
      <c r="AG52" s="23"/>
      <c r="AH52" s="23"/>
      <c r="AI52" s="23"/>
    </row>
    <row r="53" spans="27:39">
      <c r="AB53" s="23"/>
      <c r="AC53" s="23"/>
      <c r="AD53" s="23"/>
      <c r="AE53" s="23"/>
      <c r="AF53" s="23"/>
      <c r="AG53" s="23"/>
      <c r="AH53" s="23"/>
      <c r="AI53" s="23"/>
    </row>
    <row r="54" spans="27:39" ht="15">
      <c r="AA54" s="16"/>
      <c r="AB54" s="39" t="s">
        <v>386</v>
      </c>
      <c r="AC54" t="s">
        <v>357</v>
      </c>
      <c r="AD54" s="49" t="s">
        <v>398</v>
      </c>
      <c r="AE54" s="49" t="s">
        <v>399</v>
      </c>
      <c r="AF54" s="16"/>
      <c r="AG54" s="16"/>
      <c r="AH54" s="16"/>
      <c r="AI54" s="16"/>
    </row>
    <row r="55" spans="27:39">
      <c r="AA55" s="7" t="s">
        <v>342</v>
      </c>
      <c r="AB55" s="23" t="s">
        <v>391</v>
      </c>
      <c r="AC55" s="1">
        <v>20</v>
      </c>
      <c r="AD55" s="1">
        <v>20</v>
      </c>
      <c r="AE55" s="1">
        <v>0</v>
      </c>
    </row>
    <row r="56" spans="27:39">
      <c r="AA56" s="7" t="s">
        <v>343</v>
      </c>
      <c r="AB56" s="23" t="s">
        <v>392</v>
      </c>
      <c r="AC56" s="1">
        <v>75</v>
      </c>
      <c r="AD56" s="1">
        <v>70</v>
      </c>
      <c r="AE56" s="1">
        <v>10</v>
      </c>
    </row>
    <row r="57" spans="27:39">
      <c r="AA57" s="7" t="s">
        <v>344</v>
      </c>
      <c r="AB57" s="23" t="s">
        <v>393</v>
      </c>
      <c r="AC57" s="1">
        <v>25</v>
      </c>
      <c r="AD57" s="1">
        <v>105</v>
      </c>
      <c r="AE57" s="1">
        <v>0</v>
      </c>
    </row>
    <row r="58" spans="27:39">
      <c r="AA58" s="7" t="s">
        <v>373</v>
      </c>
      <c r="AB58" s="23" t="s">
        <v>394</v>
      </c>
      <c r="AC58" s="1">
        <v>35</v>
      </c>
      <c r="AD58" s="1">
        <v>4</v>
      </c>
      <c r="AE58" s="1">
        <v>0</v>
      </c>
    </row>
    <row r="59" spans="27:39">
      <c r="AA59" s="20" t="s">
        <v>378</v>
      </c>
      <c r="AB59" s="23"/>
      <c r="AC59" s="1">
        <v>45</v>
      </c>
      <c r="AD59" s="1"/>
      <c r="AE59" s="1"/>
    </row>
    <row r="60" spans="27:39" ht="15">
      <c r="AA60" s="7" t="s">
        <v>189</v>
      </c>
      <c r="AB60" s="23"/>
      <c r="AC60" s="2">
        <v>205</v>
      </c>
      <c r="AD60" s="2">
        <v>200</v>
      </c>
      <c r="AE60" s="2">
        <v>10</v>
      </c>
      <c r="AF60" s="23"/>
      <c r="AG60" s="23"/>
      <c r="AH60" s="23"/>
      <c r="AI60" s="23"/>
    </row>
    <row r="61" spans="27:39">
      <c r="AA61" s="7"/>
      <c r="AB61" s="23"/>
    </row>
    <row r="62" spans="27:39">
      <c r="AA62" s="7"/>
      <c r="AB62" s="23"/>
      <c r="AK62" s="23"/>
      <c r="AL62" s="23"/>
      <c r="AM62" s="23"/>
    </row>
    <row r="63" spans="27:39" ht="14.25" customHeight="1">
      <c r="AA63" s="7"/>
      <c r="AB63" s="23"/>
      <c r="AE63" s="332" t="s">
        <v>388</v>
      </c>
      <c r="AF63" s="23"/>
      <c r="AG63" s="49" t="s">
        <v>133</v>
      </c>
      <c r="AK63" s="23"/>
      <c r="AL63" s="23"/>
      <c r="AM63" s="23"/>
    </row>
    <row r="64" spans="27:39" ht="15">
      <c r="AA64" s="7"/>
      <c r="AB64" s="39" t="s">
        <v>386</v>
      </c>
      <c r="AC64" s="207" t="s">
        <v>403</v>
      </c>
      <c r="AD64" s="217" t="s">
        <v>404</v>
      </c>
      <c r="AE64" s="332"/>
      <c r="AF64" s="23"/>
      <c r="AG64" s="39" t="s">
        <v>389</v>
      </c>
      <c r="AH64" s="39" t="s">
        <v>390</v>
      </c>
      <c r="AI64" s="39" t="s">
        <v>386</v>
      </c>
      <c r="AK64" s="23"/>
      <c r="AL64" s="23"/>
      <c r="AM64" s="23"/>
    </row>
    <row r="65" spans="3:39" ht="15" customHeight="1">
      <c r="AA65" s="7"/>
      <c r="AB65" s="23" t="s">
        <v>391</v>
      </c>
      <c r="AC65" s="5">
        <f>SUM(AC55)</f>
        <v>20</v>
      </c>
      <c r="AD65" s="25">
        <f>SUM(AD55:AE55)</f>
        <v>20</v>
      </c>
      <c r="AE65" s="89">
        <f>AD65-AC65</f>
        <v>0</v>
      </c>
      <c r="AF65" s="23"/>
      <c r="AG65" s="5">
        <f>MAX(AC65,AD65)</f>
        <v>20</v>
      </c>
      <c r="AH65" s="5">
        <f>AG65+$AH$39</f>
        <v>27.5</v>
      </c>
      <c r="AI65" t="str">
        <f>IF(AE65&lt;0,"Shortfall:",IF(AE65&gt;0,"Surplus: ",""))&amp;CHAR(10)&amp;TEXT((AE65),"+#,##0;-#,##0;0")&amp;" units"</f>
        <v xml:space="preserve">
0 units</v>
      </c>
      <c r="AK65" s="23"/>
      <c r="AL65" s="23"/>
      <c r="AM65" s="23"/>
    </row>
    <row r="66" spans="3:39" ht="15">
      <c r="AA66" s="7"/>
      <c r="AB66" s="23" t="s">
        <v>392</v>
      </c>
      <c r="AC66" s="5">
        <f>SUM(AC56)</f>
        <v>75</v>
      </c>
      <c r="AD66" s="25">
        <f>SUM(AD56:AE56)</f>
        <v>80</v>
      </c>
      <c r="AE66" s="89">
        <f>AD66-AC66</f>
        <v>5</v>
      </c>
      <c r="AF66" s="23"/>
      <c r="AG66" s="5">
        <f>MAX(AC66,AD66)</f>
        <v>80</v>
      </c>
      <c r="AH66" s="5">
        <f>AG66+$AH$39</f>
        <v>87.5</v>
      </c>
      <c r="AI66" t="str">
        <f>IF(AE66&lt;0,"Shortfall:",IF(AE66&gt;0,"Surplus: ",""))&amp;CHAR(10)&amp;TEXT((AE66),"+#,##0;-#,##0;0")&amp;" units"</f>
        <v>Surplus: 
+5 units</v>
      </c>
      <c r="AK66" s="23"/>
      <c r="AL66" s="23"/>
      <c r="AM66" s="23"/>
    </row>
    <row r="67" spans="3:39" ht="15">
      <c r="AA67" s="7"/>
      <c r="AB67" s="23" t="s">
        <v>393</v>
      </c>
      <c r="AC67" s="5">
        <f>SUM(AC57)</f>
        <v>25</v>
      </c>
      <c r="AD67" s="25">
        <f>SUM(AD57:AE57)</f>
        <v>105</v>
      </c>
      <c r="AE67" s="89">
        <f>AD67-AC67</f>
        <v>80</v>
      </c>
      <c r="AF67" s="23"/>
      <c r="AG67" s="5">
        <f>MAX(AC67,AD67)</f>
        <v>105</v>
      </c>
      <c r="AH67" s="5">
        <f>AG67+$AH$39</f>
        <v>112.5</v>
      </c>
      <c r="AI67" t="str">
        <f>IF(AE67&lt;0,"Shortfall:",IF(AE67&gt;0,"Surplus: ",""))&amp;CHAR(10)&amp;TEXT((AE67),"+#,##0;-#,##0;0")&amp;" units"</f>
        <v>Surplus: 
+80 units</v>
      </c>
      <c r="AK67" s="23"/>
      <c r="AL67" s="23"/>
      <c r="AM67" s="23"/>
    </row>
    <row r="68" spans="3:39" ht="18.75" customHeight="1">
      <c r="D68" s="191"/>
      <c r="E68" s="191"/>
      <c r="F68" s="191"/>
      <c r="G68" s="191"/>
      <c r="H68" s="191"/>
      <c r="I68" s="191"/>
      <c r="J68" s="191"/>
      <c r="K68" s="191"/>
      <c r="L68" s="191"/>
      <c r="AA68" s="7"/>
      <c r="AB68" s="23" t="s">
        <v>394</v>
      </c>
      <c r="AC68" s="5">
        <f>SUM(AC58:AC59)</f>
        <v>80</v>
      </c>
      <c r="AD68" s="25">
        <f>SUM(AD58:AE58)</f>
        <v>4</v>
      </c>
      <c r="AE68" s="89">
        <f>AD68-AC68</f>
        <v>-76</v>
      </c>
      <c r="AF68" s="23"/>
      <c r="AG68" s="5">
        <f>MAX(AC68,AD68)</f>
        <v>80</v>
      </c>
      <c r="AH68" s="5">
        <f>AG68+$AH$39</f>
        <v>87.5</v>
      </c>
      <c r="AI68" t="str">
        <f>IF(AE68&lt;0,"Shortfall:",IF(AE68&gt;0,"Surplus: ",""))&amp;CHAR(10)&amp;TEXT((AE68),"+#,##0;-#,##0;0")&amp;" units"</f>
        <v>Shortfall:
-76 units</v>
      </c>
      <c r="AK68" s="23"/>
      <c r="AL68" s="23"/>
      <c r="AM68" s="23"/>
    </row>
    <row r="69" spans="3:39" ht="18.75" customHeight="1">
      <c r="C69" s="191"/>
      <c r="D69" s="191"/>
      <c r="E69" s="191"/>
      <c r="F69" s="191"/>
      <c r="G69" s="191"/>
      <c r="H69" s="191"/>
      <c r="I69" s="191"/>
      <c r="J69" s="191"/>
      <c r="K69" s="191"/>
      <c r="L69" s="191"/>
      <c r="AA69" s="7"/>
      <c r="AB69" s="23"/>
      <c r="AC69" s="5">
        <f>AC60</f>
        <v>205</v>
      </c>
      <c r="AD69" s="25">
        <f>SUM(AD60:AE60)</f>
        <v>210</v>
      </c>
      <c r="AE69" s="25"/>
      <c r="AF69" s="23"/>
      <c r="AG69" s="51" t="s">
        <v>395</v>
      </c>
      <c r="AH69" s="101">
        <f>0.1*MAX(AC65:AC68)</f>
        <v>8</v>
      </c>
      <c r="AK69" s="23"/>
      <c r="AL69" s="23"/>
      <c r="AM69" s="23"/>
    </row>
    <row r="70" spans="3:39">
      <c r="AA70" s="23"/>
      <c r="AB70" s="23"/>
      <c r="AC70" s="23"/>
      <c r="AD70" s="23"/>
      <c r="AE70" s="23"/>
      <c r="AF70" s="23"/>
      <c r="AK70" s="23"/>
      <c r="AL70" s="23"/>
      <c r="AM70" s="23"/>
    </row>
    <row r="71" spans="3:39">
      <c r="AC71" s="23"/>
      <c r="AD71" s="23"/>
      <c r="AE71" s="23"/>
      <c r="AF71" s="23"/>
      <c r="AK71" s="23"/>
      <c r="AL71" s="23"/>
      <c r="AM71" s="23"/>
    </row>
    <row r="73" spans="3:39" ht="15">
      <c r="C73" s="318" t="s">
        <v>405</v>
      </c>
      <c r="D73" s="318"/>
      <c r="E73" s="318"/>
      <c r="F73" s="318"/>
      <c r="G73" s="318"/>
      <c r="H73" s="318"/>
      <c r="I73" s="318"/>
      <c r="J73" s="318"/>
      <c r="K73" s="318"/>
      <c r="L73" s="318"/>
      <c r="M73" s="269"/>
      <c r="AA73" s="116" t="s">
        <v>406</v>
      </c>
      <c r="AB73" s="252"/>
      <c r="AC73" s="252"/>
    </row>
    <row r="74" spans="3:39">
      <c r="C74" s="318"/>
      <c r="D74" s="318"/>
      <c r="E74" s="318"/>
      <c r="F74" s="318"/>
      <c r="G74" s="318"/>
      <c r="H74" s="318"/>
      <c r="I74" s="318"/>
      <c r="J74" s="318"/>
      <c r="K74" s="318"/>
      <c r="L74" s="318"/>
      <c r="M74" s="269"/>
    </row>
    <row r="76" spans="3:39">
      <c r="AG76" s="49" t="s">
        <v>133</v>
      </c>
    </row>
    <row r="77" spans="3:39" ht="15">
      <c r="AB77" s="39" t="s">
        <v>386</v>
      </c>
      <c r="AC77" s="16" t="s">
        <v>407</v>
      </c>
      <c r="AD77" s="16" t="s">
        <v>408</v>
      </c>
      <c r="AE77" s="16" t="s">
        <v>409</v>
      </c>
      <c r="AG77" s="39" t="s">
        <v>389</v>
      </c>
      <c r="AH77" s="39" t="s">
        <v>390</v>
      </c>
      <c r="AI77" s="39" t="s">
        <v>386</v>
      </c>
    </row>
    <row r="78" spans="3:39" ht="18" customHeight="1">
      <c r="C78" s="319" t="str">
        <f>"Chart 12. "&amp;City_label&amp;" five year change in renter households by income and rental units by affordability, 2014 - 2019"</f>
        <v>Chart 12. Algona five year change in renter households by income and rental units by affordability, 2014 - 2019</v>
      </c>
      <c r="D78" s="319"/>
      <c r="E78" s="319"/>
      <c r="F78" s="319"/>
      <c r="G78" s="319"/>
      <c r="H78" s="319"/>
      <c r="I78" s="319"/>
      <c r="J78" s="319"/>
      <c r="K78" s="319"/>
      <c r="L78" s="319"/>
      <c r="AB78" s="23" t="s">
        <v>391</v>
      </c>
      <c r="AC78" s="5">
        <f t="shared" ref="AC78:AD80" si="10">AC35-AC65</f>
        <v>-5</v>
      </c>
      <c r="AD78" s="5">
        <f t="shared" si="10"/>
        <v>0</v>
      </c>
      <c r="AE78" s="5">
        <f>AD78-AC78</f>
        <v>5</v>
      </c>
      <c r="AG78" s="5">
        <f>MAX(AC78,AD78)</f>
        <v>0</v>
      </c>
      <c r="AH78" s="5">
        <f>MAX(AG78,0)+$AH$82</f>
        <v>23</v>
      </c>
      <c r="AI78" t="str">
        <f>"Difference:"&amp;CHAR(10)&amp;TEXT(AE78,"+#,##0;-#,##0;0")&amp;" units"</f>
        <v>Difference:
+5 units</v>
      </c>
    </row>
    <row r="79" spans="3:39" ht="18" customHeight="1">
      <c r="C79" s="319"/>
      <c r="D79" s="319"/>
      <c r="E79" s="319"/>
      <c r="F79" s="319"/>
      <c r="G79" s="319"/>
      <c r="H79" s="319"/>
      <c r="I79" s="319"/>
      <c r="J79" s="319"/>
      <c r="K79" s="319"/>
      <c r="L79" s="319"/>
      <c r="AB79" s="23" t="s">
        <v>392</v>
      </c>
      <c r="AC79" s="5">
        <f t="shared" si="10"/>
        <v>0</v>
      </c>
      <c r="AD79" s="5">
        <f t="shared" si="10"/>
        <v>30</v>
      </c>
      <c r="AE79" s="5">
        <f>AD79-AC79</f>
        <v>30</v>
      </c>
      <c r="AG79" s="5">
        <f>MAX(AC79,AD79)</f>
        <v>30</v>
      </c>
      <c r="AH79" s="5">
        <f>MAX(AG79,0)+$AH$82</f>
        <v>53</v>
      </c>
      <c r="AI79" t="str">
        <f>"Difference:"&amp;CHAR(10)&amp;TEXT(AE79,"+#,##0;-#,##0;0")&amp;" units"</f>
        <v>Difference:
+30 units</v>
      </c>
    </row>
    <row r="80" spans="3:39" ht="18">
      <c r="C80" s="183"/>
      <c r="D80" s="183"/>
      <c r="E80" s="183"/>
      <c r="F80" s="183"/>
      <c r="G80" s="183"/>
      <c r="H80" s="183"/>
      <c r="I80" s="183"/>
      <c r="J80" s="183"/>
      <c r="K80" s="183"/>
      <c r="L80" s="183"/>
      <c r="AB80" s="23" t="s">
        <v>393</v>
      </c>
      <c r="AC80" s="5">
        <f t="shared" si="10"/>
        <v>35</v>
      </c>
      <c r="AD80" s="5">
        <f t="shared" si="10"/>
        <v>-60</v>
      </c>
      <c r="AE80" s="5">
        <f>AD80-AC80</f>
        <v>-95</v>
      </c>
      <c r="AG80" s="5">
        <f>MAX(AC80,AD80)</f>
        <v>35</v>
      </c>
      <c r="AH80" s="5">
        <f>MAX(AG80,0)+$AH$82</f>
        <v>58</v>
      </c>
      <c r="AI80" t="str">
        <f>"Difference:"&amp;CHAR(10)&amp;TEXT(AE80,"+#,##0;-#,##0;0")&amp;" units"</f>
        <v>Difference:
-95 units</v>
      </c>
    </row>
    <row r="81" spans="28:35">
      <c r="AB81" s="23" t="s">
        <v>394</v>
      </c>
      <c r="AC81" s="5">
        <f>AC39-AC68</f>
        <v>115</v>
      </c>
      <c r="AD81" s="5">
        <f>AD39-AD68</f>
        <v>181</v>
      </c>
      <c r="AE81" s="5">
        <f>AD81-AC81</f>
        <v>66</v>
      </c>
      <c r="AG81" s="5">
        <f>MAX(AC81,AD81)</f>
        <v>181</v>
      </c>
      <c r="AH81" s="5">
        <f>MAX(AG81,0)+$AH$82</f>
        <v>204</v>
      </c>
      <c r="AI81" t="str">
        <f>"Difference:"&amp;CHAR(10)&amp;TEXT(AE81,"+#,##0;-#,##0;0")&amp;" units"</f>
        <v>Difference:
+66 units</v>
      </c>
    </row>
    <row r="82" spans="28:35" ht="13.9" customHeight="1">
      <c r="AG82" s="51" t="s">
        <v>395</v>
      </c>
      <c r="AH82" s="101">
        <f>0.2*MAX(AB78:AC81)</f>
        <v>23</v>
      </c>
    </row>
    <row r="84" spans="28:35">
      <c r="AI84" s="101"/>
    </row>
    <row r="85" spans="28:35">
      <c r="AH85" s="101"/>
    </row>
    <row r="94" spans="28:35" ht="14.25" customHeight="1"/>
    <row r="101" spans="3:12" ht="13.9" customHeight="1"/>
    <row r="102" spans="3:12" ht="13.9" customHeight="1"/>
    <row r="108" spans="3:12">
      <c r="C108" s="318" t="s">
        <v>410</v>
      </c>
      <c r="D108" s="318"/>
      <c r="E108" s="318"/>
      <c r="F108" s="318"/>
      <c r="G108" s="318"/>
      <c r="H108" s="318"/>
      <c r="I108" s="318"/>
      <c r="J108" s="318"/>
      <c r="K108" s="318"/>
      <c r="L108" s="318"/>
    </row>
    <row r="109" spans="3:12">
      <c r="C109" s="318"/>
      <c r="D109" s="318"/>
      <c r="E109" s="318"/>
      <c r="F109" s="318"/>
      <c r="G109" s="318"/>
      <c r="H109" s="318"/>
      <c r="I109" s="318"/>
      <c r="J109" s="318"/>
      <c r="K109" s="318"/>
      <c r="L109" s="318"/>
    </row>
    <row r="110" spans="3:12">
      <c r="C110" s="318"/>
      <c r="D110" s="318"/>
      <c r="E110" s="318"/>
      <c r="F110" s="318"/>
      <c r="G110" s="318"/>
      <c r="H110" s="318"/>
      <c r="I110" s="318"/>
      <c r="J110" s="318"/>
      <c r="K110" s="318"/>
      <c r="L110" s="318"/>
    </row>
    <row r="111" spans="3:12">
      <c r="C111" s="318"/>
      <c r="D111" s="318"/>
      <c r="E111" s="318"/>
      <c r="F111" s="318"/>
      <c r="G111" s="318"/>
      <c r="H111" s="318"/>
      <c r="I111" s="318"/>
      <c r="J111" s="318"/>
      <c r="K111" s="318"/>
      <c r="L111" s="318"/>
    </row>
    <row r="112" spans="3:12">
      <c r="C112" s="318"/>
      <c r="D112" s="318"/>
      <c r="E112" s="318"/>
      <c r="F112" s="318"/>
      <c r="G112" s="318"/>
      <c r="H112" s="318"/>
      <c r="I112" s="318"/>
      <c r="J112" s="318"/>
      <c r="K112" s="318"/>
      <c r="L112" s="318"/>
    </row>
    <row r="138" ht="13.9" customHeight="1"/>
    <row r="139" ht="13.9" customHeight="1"/>
    <row r="145" spans="29:42">
      <c r="AC145" s="30"/>
      <c r="AD145" s="30"/>
      <c r="AE145" s="30"/>
      <c r="AF145" s="30"/>
      <c r="AG145" s="30"/>
      <c r="AH145" s="30"/>
      <c r="AI145" s="30"/>
      <c r="AJ145" s="30"/>
      <c r="AK145" s="30"/>
    </row>
    <row r="146" spans="29:42">
      <c r="AC146" s="30"/>
      <c r="AD146" s="30"/>
      <c r="AE146" s="30"/>
      <c r="AF146" s="30"/>
      <c r="AG146" s="30"/>
      <c r="AH146" s="30"/>
      <c r="AI146" s="30"/>
      <c r="AJ146" s="30"/>
      <c r="AK146" s="30"/>
    </row>
    <row r="147" spans="29:42">
      <c r="AC147" s="22"/>
      <c r="AD147" s="22"/>
      <c r="AE147" s="22"/>
      <c r="AF147" s="22"/>
      <c r="AG147" s="22"/>
      <c r="AH147" s="22"/>
      <c r="AI147" s="22"/>
      <c r="AJ147" s="22"/>
      <c r="AK147" s="22"/>
    </row>
    <row r="148" spans="29:42">
      <c r="AC148" s="100"/>
      <c r="AD148" s="100"/>
      <c r="AE148" s="100"/>
      <c r="AF148" s="22"/>
      <c r="AG148" s="100"/>
      <c r="AH148" s="100"/>
      <c r="AI148" s="100"/>
      <c r="AJ148" s="22"/>
      <c r="AK148" s="100"/>
    </row>
    <row r="149" spans="29:42">
      <c r="AC149" s="100"/>
      <c r="AD149" s="100"/>
      <c r="AE149" s="100"/>
      <c r="AF149" s="22"/>
      <c r="AG149" s="100"/>
      <c r="AH149" s="100"/>
      <c r="AI149" s="100"/>
      <c r="AJ149" s="22"/>
      <c r="AK149" s="100"/>
    </row>
    <row r="150" spans="29:42">
      <c r="AC150" s="100"/>
      <c r="AD150" s="100"/>
      <c r="AE150" s="100"/>
      <c r="AF150" s="22"/>
      <c r="AG150" s="100"/>
      <c r="AH150" s="100"/>
      <c r="AI150" s="100"/>
      <c r="AJ150" s="22"/>
      <c r="AK150" s="100"/>
    </row>
    <row r="151" spans="29:42">
      <c r="AC151" s="22"/>
      <c r="AD151" s="22"/>
      <c r="AE151" s="22"/>
      <c r="AF151" s="22"/>
      <c r="AG151" s="22"/>
      <c r="AH151" s="22"/>
      <c r="AI151" s="22"/>
      <c r="AJ151" s="22"/>
      <c r="AK151" s="22"/>
    </row>
    <row r="152" spans="29:42">
      <c r="AC152" s="22"/>
      <c r="AD152" s="22"/>
      <c r="AE152" s="22"/>
      <c r="AF152" s="22"/>
      <c r="AG152" s="22"/>
      <c r="AH152" s="22"/>
      <c r="AI152" s="22"/>
      <c r="AJ152" s="22"/>
      <c r="AK152" s="22"/>
      <c r="AN152" s="30"/>
      <c r="AO152" s="30"/>
      <c r="AP152" s="30"/>
    </row>
    <row r="153" spans="29:42">
      <c r="AC153" s="22"/>
      <c r="AD153" s="22"/>
      <c r="AE153" s="22"/>
      <c r="AF153" s="22"/>
      <c r="AG153" s="22"/>
      <c r="AH153" s="22"/>
      <c r="AI153" s="22"/>
      <c r="AJ153" s="22"/>
      <c r="AK153" s="22"/>
      <c r="AL153" s="30"/>
      <c r="AM153" s="30"/>
      <c r="AN153" s="30"/>
      <c r="AO153" s="30"/>
      <c r="AP153" s="30"/>
    </row>
    <row r="154" spans="29:42">
      <c r="AC154" s="22"/>
      <c r="AD154" s="22"/>
      <c r="AE154" s="22"/>
      <c r="AF154" s="22"/>
      <c r="AG154" s="22"/>
      <c r="AH154" s="22"/>
      <c r="AI154" s="22"/>
      <c r="AJ154" s="22"/>
      <c r="AK154" s="22"/>
      <c r="AL154" s="30"/>
      <c r="AM154" s="30"/>
      <c r="AN154" s="22"/>
      <c r="AO154" s="22"/>
      <c r="AP154" s="22"/>
    </row>
    <row r="155" spans="29:42">
      <c r="AL155" s="22"/>
      <c r="AM155" s="22"/>
      <c r="AN155" s="22"/>
      <c r="AO155" s="100"/>
      <c r="AP155" s="100"/>
    </row>
    <row r="156" spans="29:42">
      <c r="AL156" s="100"/>
      <c r="AM156" s="100"/>
      <c r="AN156" s="22"/>
      <c r="AO156" s="100"/>
      <c r="AP156" s="100"/>
    </row>
    <row r="157" spans="29:42">
      <c r="AL157" s="100"/>
      <c r="AM157" s="100"/>
      <c r="AN157" s="22"/>
      <c r="AO157" s="100"/>
      <c r="AP157" s="100"/>
    </row>
    <row r="158" spans="29:42">
      <c r="AL158" s="100"/>
      <c r="AM158" s="100"/>
      <c r="AN158" s="22"/>
      <c r="AO158" s="22"/>
      <c r="AP158" s="22"/>
    </row>
    <row r="159" spans="29:42">
      <c r="AL159" s="22"/>
      <c r="AM159" s="22"/>
      <c r="AN159" s="22"/>
      <c r="AO159" s="22"/>
      <c r="AP159" s="22"/>
    </row>
    <row r="160" spans="29:42">
      <c r="AL160" s="22"/>
      <c r="AM160" s="22"/>
      <c r="AN160" s="22"/>
      <c r="AO160" s="22"/>
      <c r="AP160" s="22"/>
    </row>
    <row r="161" spans="38:42">
      <c r="AL161" s="22"/>
      <c r="AM161" s="22"/>
      <c r="AN161" s="22"/>
      <c r="AO161" s="22"/>
      <c r="AP161" s="22"/>
    </row>
    <row r="162" spans="38:42">
      <c r="AL162" s="22"/>
      <c r="AM162" s="22"/>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77" customWidth="1"/>
    <col min="28" max="34" width="9.5" style="77" customWidth="1"/>
    <col min="35" max="35" width="8.875" style="77" customWidth="1"/>
    <col min="36" max="36" width="8.75" style="77" customWidth="1"/>
    <col min="37" max="37" width="10.25" style="77" customWidth="1"/>
    <col min="38" max="38" width="34.5" style="77" customWidth="1"/>
    <col min="39" max="48" width="10.25" style="77"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56" t="s">
        <v>107</v>
      </c>
      <c r="C3" s="156"/>
      <c r="D3" s="156"/>
      <c r="E3" s="156"/>
      <c r="F3" s="156"/>
      <c r="G3" s="156"/>
      <c r="H3" s="156"/>
      <c r="I3" s="156"/>
      <c r="J3" s="156"/>
      <c r="AA3" s="156" t="s">
        <v>125</v>
      </c>
      <c r="AB3" s="157"/>
      <c r="AC3" s="157"/>
      <c r="AD3" s="157"/>
      <c r="AE3" s="157"/>
      <c r="AF3" s="157"/>
      <c r="AG3" s="157"/>
      <c r="AH3" s="157"/>
      <c r="AI3" s="157"/>
      <c r="AJ3" s="157"/>
      <c r="AL3" s="157"/>
      <c r="AM3" s="157"/>
      <c r="AN3" s="157"/>
      <c r="AO3" s="157"/>
      <c r="AP3" s="157"/>
      <c r="AQ3" s="157"/>
      <c r="AR3" s="157"/>
      <c r="AS3" s="157"/>
      <c r="AT3" s="157"/>
      <c r="AU3" s="157"/>
      <c r="AV3" s="158"/>
      <c r="AZ3" s="4" t="s">
        <v>411</v>
      </c>
      <c r="BA3" s="4"/>
      <c r="BB3" s="4"/>
      <c r="BC3" s="4"/>
      <c r="BD3" s="4"/>
      <c r="BE3" s="4"/>
      <c r="BF3" s="4"/>
      <c r="BG3" s="4"/>
      <c r="BH3" s="4"/>
      <c r="BI3" s="4"/>
      <c r="BJ3" s="4"/>
      <c r="BK3" s="4"/>
      <c r="BL3" s="4"/>
      <c r="BM3" s="4"/>
      <c r="BN3" s="4"/>
    </row>
    <row r="4" spans="2:66" ht="13.9" customHeight="1" thickTop="1"/>
    <row r="5" spans="2:66" ht="13.9" customHeight="1">
      <c r="AA5" s="117" t="s">
        <v>126</v>
      </c>
      <c r="AB5" s="351" t="str">
        <f>City</f>
        <v>Algona city, Washington</v>
      </c>
      <c r="AC5" s="352"/>
      <c r="AD5" s="352"/>
      <c r="AZ5" s="127"/>
      <c r="BA5" s="128"/>
      <c r="BB5" s="129"/>
      <c r="BC5" s="130"/>
      <c r="BD5" s="131"/>
      <c r="BE5" s="130"/>
      <c r="BF5" s="130"/>
      <c r="BG5" s="132"/>
      <c r="BH5" s="127"/>
      <c r="BI5" s="127"/>
      <c r="BJ5" s="133"/>
      <c r="BK5" s="127"/>
      <c r="BL5" s="127"/>
      <c r="BM5" s="134"/>
      <c r="BN5" s="127"/>
    </row>
    <row r="6" spans="2:66" ht="18">
      <c r="B6" s="159" t="str">
        <f>"Table 6. "&amp;City_label&amp;" count of households by income and race, 2019"</f>
        <v>Table 6. Algona count of households by income and race, 2019</v>
      </c>
      <c r="AA6" s="117" t="s">
        <v>127</v>
      </c>
      <c r="AB6" s="351" t="str">
        <f>County_label</f>
        <v>King County</v>
      </c>
      <c r="AC6" s="352"/>
      <c r="AD6" s="352"/>
      <c r="AZ6" s="357" t="s">
        <v>412</v>
      </c>
      <c r="BA6" s="357"/>
      <c r="BB6" s="357"/>
      <c r="BC6" s="358" t="s">
        <v>413</v>
      </c>
      <c r="BD6" s="358"/>
      <c r="BE6" s="358"/>
      <c r="BF6" s="358" t="s">
        <v>414</v>
      </c>
      <c r="BG6" s="358"/>
      <c r="BH6" s="358"/>
      <c r="BI6" s="357" t="s">
        <v>415</v>
      </c>
      <c r="BJ6" s="357"/>
      <c r="BK6" s="357"/>
      <c r="BL6" s="357" t="s">
        <v>416</v>
      </c>
      <c r="BM6" s="357"/>
      <c r="BN6" s="357"/>
    </row>
    <row r="7" spans="2:66" ht="16.5" customHeight="1" thickBot="1">
      <c r="B7" s="124"/>
      <c r="C7" s="124"/>
      <c r="D7" s="124"/>
      <c r="E7" s="124"/>
      <c r="F7" s="124"/>
      <c r="G7" s="124"/>
      <c r="H7" s="124"/>
      <c r="I7" s="124"/>
      <c r="AZ7" s="357"/>
      <c r="BA7" s="357"/>
      <c r="BB7" s="357"/>
      <c r="BC7" s="358"/>
      <c r="BD7" s="358"/>
      <c r="BE7" s="358"/>
      <c r="BF7" s="358"/>
      <c r="BG7" s="358"/>
      <c r="BH7" s="358"/>
      <c r="BI7" s="357"/>
      <c r="BJ7" s="357"/>
      <c r="BK7" s="357"/>
      <c r="BL7" s="357"/>
      <c r="BM7" s="357"/>
      <c r="BN7" s="357"/>
    </row>
    <row r="8" spans="2:66" ht="21" customHeight="1">
      <c r="C8" s="353" t="str">
        <f>AF12</f>
        <v>American Indian or Alaska Native</v>
      </c>
      <c r="D8" s="340" t="str">
        <f>AD12</f>
        <v>Asian</v>
      </c>
      <c r="E8" s="353" t="str">
        <f>AC12</f>
        <v>Black or African American</v>
      </c>
      <c r="F8" s="340" t="str">
        <f>AB12</f>
        <v>Hispanic or Latino (of any race)</v>
      </c>
      <c r="G8" s="340" t="str">
        <f>AE12</f>
        <v>Pacific Islander</v>
      </c>
      <c r="H8" s="340" t="str">
        <f>AG12</f>
        <v>White</v>
      </c>
      <c r="I8" s="340" t="s">
        <v>417</v>
      </c>
      <c r="J8" s="340" t="str">
        <f>AI12</f>
        <v>All</v>
      </c>
      <c r="AA8" s="125" t="s">
        <v>418</v>
      </c>
      <c r="AB8" s="120"/>
      <c r="AC8" s="120"/>
      <c r="AD8" s="120"/>
      <c r="AE8" s="120"/>
      <c r="AF8" s="120"/>
      <c r="AG8" s="120"/>
      <c r="AH8" s="120"/>
      <c r="AI8" s="120"/>
      <c r="AJ8" s="120"/>
      <c r="AL8" s="125" t="s">
        <v>419</v>
      </c>
      <c r="AM8" s="120"/>
      <c r="AN8" s="120"/>
      <c r="AO8" s="120"/>
      <c r="AP8" s="120"/>
      <c r="AQ8" s="120"/>
      <c r="AR8" s="120"/>
      <c r="AS8" s="120"/>
      <c r="AT8" s="120"/>
      <c r="AU8" s="120"/>
      <c r="AV8" s="120"/>
      <c r="BB8" s="19"/>
      <c r="BC8" s="18"/>
      <c r="BD8" s="18"/>
      <c r="BE8" s="18"/>
      <c r="BF8" s="18"/>
      <c r="BG8" s="18"/>
    </row>
    <row r="9" spans="2:66" ht="13.9" customHeight="1">
      <c r="C9" s="354"/>
      <c r="D9" s="341"/>
      <c r="E9" s="354"/>
      <c r="F9" s="341"/>
      <c r="G9" s="341"/>
      <c r="H9" s="341"/>
      <c r="I9" s="341"/>
      <c r="J9" s="341"/>
      <c r="BB9" s="19"/>
      <c r="BC9" s="18"/>
      <c r="BD9" s="18"/>
      <c r="BE9" s="18"/>
      <c r="BF9" s="18"/>
      <c r="BG9" s="18"/>
    </row>
    <row r="10" spans="2:66" ht="13.9" customHeight="1">
      <c r="C10" s="354"/>
      <c r="D10" s="341"/>
      <c r="E10" s="354"/>
      <c r="F10" s="341"/>
      <c r="G10" s="341"/>
      <c r="H10" s="341"/>
      <c r="I10" s="341"/>
      <c r="J10" s="341"/>
      <c r="AA10" s="153" t="s">
        <v>420</v>
      </c>
      <c r="AB10" s="153"/>
      <c r="AC10" s="153"/>
      <c r="AD10" s="153"/>
      <c r="AE10" s="153"/>
      <c r="AF10" s="153"/>
      <c r="AG10" s="153"/>
      <c r="AH10" s="153"/>
      <c r="AI10" s="153"/>
      <c r="AJ10" s="153"/>
      <c r="AL10" s="153" t="s">
        <v>420</v>
      </c>
      <c r="AM10" s="153"/>
      <c r="AN10" s="153"/>
      <c r="AO10" s="153"/>
      <c r="AP10" s="153"/>
      <c r="AQ10" s="153"/>
      <c r="AR10" s="153"/>
      <c r="AS10" s="153"/>
      <c r="AT10" s="153"/>
      <c r="AU10" s="153"/>
      <c r="BB10" s="19"/>
      <c r="BC10" s="18"/>
      <c r="BD10" s="18"/>
      <c r="BE10" s="18"/>
      <c r="BF10" s="18"/>
      <c r="BG10" s="18"/>
    </row>
    <row r="11" spans="2:66" ht="13.9" customHeight="1">
      <c r="C11" s="354"/>
      <c r="D11" s="341"/>
      <c r="E11" s="354"/>
      <c r="F11" s="341"/>
      <c r="G11" s="341"/>
      <c r="H11" s="341"/>
      <c r="I11" s="341"/>
      <c r="J11" s="341"/>
      <c r="AA11" s="160" t="s">
        <v>421</v>
      </c>
      <c r="AB11" s="161" t="s">
        <v>66</v>
      </c>
      <c r="AC11" s="161"/>
      <c r="AD11" s="161"/>
      <c r="AE11" s="161"/>
      <c r="AF11" s="161"/>
      <c r="AG11" s="162"/>
      <c r="AH11" s="162"/>
      <c r="AL11" s="160" t="s">
        <v>421</v>
      </c>
      <c r="AM11" s="161" t="s">
        <v>422</v>
      </c>
      <c r="AN11" s="161"/>
      <c r="AO11" s="161"/>
      <c r="AP11" s="161"/>
      <c r="AQ11" s="161"/>
      <c r="AR11" s="162"/>
      <c r="AU11" s="78"/>
      <c r="AV11" s="78"/>
      <c r="BC11" s="18"/>
      <c r="BD11" s="18"/>
      <c r="BE11" s="18"/>
      <c r="BF11" s="18"/>
      <c r="BG11" s="18"/>
    </row>
    <row r="12" spans="2:66" ht="13.9" customHeight="1">
      <c r="B12" s="123" t="str">
        <f>AA12</f>
        <v>Income Category (% of AMI)</v>
      </c>
      <c r="C12" s="354"/>
      <c r="D12" s="341"/>
      <c r="E12" s="354"/>
      <c r="F12" s="341"/>
      <c r="G12" s="341"/>
      <c r="H12" s="341"/>
      <c r="I12" s="341"/>
      <c r="J12" s="341"/>
      <c r="AA12" s="356" t="s">
        <v>423</v>
      </c>
      <c r="AB12" s="355" t="s">
        <v>157</v>
      </c>
      <c r="AC12" s="355" t="s">
        <v>139</v>
      </c>
      <c r="AD12" s="355" t="s">
        <v>145</v>
      </c>
      <c r="AE12" s="355" t="s">
        <v>187</v>
      </c>
      <c r="AF12" s="355" t="s">
        <v>186</v>
      </c>
      <c r="AG12" s="355" t="s">
        <v>136</v>
      </c>
      <c r="AH12" s="355"/>
      <c r="AI12" s="355" t="s">
        <v>189</v>
      </c>
      <c r="AJ12" s="346"/>
      <c r="AL12" s="356" t="s">
        <v>423</v>
      </c>
      <c r="AM12" s="355" t="s">
        <v>157</v>
      </c>
      <c r="AN12" s="355" t="s">
        <v>139</v>
      </c>
      <c r="AO12" s="355" t="s">
        <v>145</v>
      </c>
      <c r="AP12" s="355" t="s">
        <v>187</v>
      </c>
      <c r="AQ12" s="355" t="s">
        <v>186</v>
      </c>
      <c r="AR12" s="355" t="s">
        <v>136</v>
      </c>
      <c r="AS12" s="355" t="s">
        <v>424</v>
      </c>
      <c r="AT12" s="359" t="s">
        <v>189</v>
      </c>
      <c r="AU12" s="233"/>
      <c r="BB12" s="52"/>
      <c r="BC12" s="77"/>
      <c r="BD12" s="52"/>
      <c r="BE12" s="77"/>
      <c r="BF12" s="52"/>
      <c r="BG12" s="77"/>
      <c r="BH12" s="52"/>
      <c r="BI12" s="77"/>
      <c r="BJ12" s="52"/>
    </row>
    <row r="13" spans="2:66" ht="13.9" customHeight="1">
      <c r="B13" s="163" t="s">
        <v>425</v>
      </c>
      <c r="C13" s="163"/>
      <c r="D13" s="163"/>
      <c r="E13" s="163"/>
      <c r="F13" s="163"/>
      <c r="G13" s="163"/>
      <c r="H13" s="163"/>
      <c r="I13" s="163"/>
      <c r="J13" s="122"/>
      <c r="AA13" s="356"/>
      <c r="AB13" s="355"/>
      <c r="AC13" s="355"/>
      <c r="AD13" s="355"/>
      <c r="AE13" s="355"/>
      <c r="AF13" s="355"/>
      <c r="AG13" s="355"/>
      <c r="AH13" s="355"/>
      <c r="AI13" s="355"/>
      <c r="AJ13" s="346"/>
      <c r="AL13" s="356"/>
      <c r="AM13" s="355"/>
      <c r="AN13" s="355"/>
      <c r="AO13" s="355"/>
      <c r="AP13" s="355"/>
      <c r="AQ13" s="355"/>
      <c r="AR13" s="355"/>
      <c r="AS13" s="355"/>
      <c r="AT13" s="359"/>
      <c r="AU13" s="233"/>
      <c r="BD13" s="18"/>
      <c r="BE13" s="18"/>
      <c r="BF13" s="18"/>
      <c r="BG13" s="18"/>
      <c r="BH13" s="18"/>
    </row>
    <row r="14" spans="2:66" ht="13.9" customHeight="1">
      <c r="B14" s="35" t="str">
        <f>AA51</f>
        <v>Extremely Low-Income (≤30% AMI)</v>
      </c>
      <c r="C14" s="173">
        <f t="shared" ref="C14:H18" si="0">AB101</f>
        <v>0</v>
      </c>
      <c r="D14" s="173">
        <f t="shared" si="0"/>
        <v>24</v>
      </c>
      <c r="E14" s="173">
        <f t="shared" si="0"/>
        <v>0</v>
      </c>
      <c r="F14" s="173">
        <f t="shared" si="0"/>
        <v>19</v>
      </c>
      <c r="G14" s="173">
        <f t="shared" si="0"/>
        <v>0</v>
      </c>
      <c r="H14" s="173">
        <f t="shared" si="0"/>
        <v>59</v>
      </c>
      <c r="I14" s="221">
        <f>J14-SUM(C14:H14)</f>
        <v>2</v>
      </c>
      <c r="J14" s="173">
        <f>AI101</f>
        <v>104</v>
      </c>
      <c r="W14" s="18"/>
      <c r="AA14" s="356"/>
      <c r="AB14" s="355"/>
      <c r="AC14" s="355"/>
      <c r="AD14" s="355"/>
      <c r="AE14" s="355"/>
      <c r="AF14" s="355"/>
      <c r="AG14" s="355"/>
      <c r="AH14" s="355"/>
      <c r="AI14" s="355"/>
      <c r="AJ14" s="346"/>
      <c r="AL14" s="356"/>
      <c r="AM14" s="355"/>
      <c r="AN14" s="355"/>
      <c r="AO14" s="355"/>
      <c r="AP14" s="355"/>
      <c r="AQ14" s="355"/>
      <c r="AR14" s="355"/>
      <c r="AS14" s="355"/>
      <c r="AT14" s="359"/>
      <c r="AU14" s="234" t="s">
        <v>149</v>
      </c>
      <c r="BD14" s="18"/>
      <c r="BE14" s="18"/>
      <c r="BF14" s="18"/>
      <c r="BG14" s="18"/>
      <c r="BH14" s="18"/>
    </row>
    <row r="15" spans="2:66" ht="13.9" customHeight="1">
      <c r="B15" s="35" t="str">
        <f>AA52</f>
        <v>Very Low-Income (30-50%)</v>
      </c>
      <c r="C15" s="173">
        <f t="shared" si="0"/>
        <v>0</v>
      </c>
      <c r="D15" s="173">
        <f t="shared" si="0"/>
        <v>24</v>
      </c>
      <c r="E15" s="173">
        <f t="shared" si="0"/>
        <v>35</v>
      </c>
      <c r="F15" s="173">
        <f t="shared" si="0"/>
        <v>4</v>
      </c>
      <c r="G15" s="173">
        <f t="shared" si="0"/>
        <v>0</v>
      </c>
      <c r="H15" s="173">
        <f t="shared" si="0"/>
        <v>110</v>
      </c>
      <c r="I15" s="221">
        <f t="shared" ref="I15:I18" si="1">J15-SUM(C15:H15)</f>
        <v>-4</v>
      </c>
      <c r="J15" s="173">
        <f>AI102</f>
        <v>169</v>
      </c>
      <c r="W15" s="18"/>
      <c r="AA15" s="52" t="s">
        <v>426</v>
      </c>
      <c r="AB15" s="103" t="s">
        <v>427</v>
      </c>
      <c r="AC15" s="103" t="s">
        <v>428</v>
      </c>
      <c r="AD15" s="103" t="s">
        <v>429</v>
      </c>
      <c r="AE15" s="103" t="s">
        <v>430</v>
      </c>
      <c r="AF15" s="103" t="s">
        <v>431</v>
      </c>
      <c r="AG15" s="103" t="s">
        <v>432</v>
      </c>
      <c r="AH15" s="103"/>
      <c r="AI15" s="103" t="s">
        <v>433</v>
      </c>
      <c r="AJ15" s="32"/>
      <c r="AL15" s="52" t="s">
        <v>426</v>
      </c>
      <c r="AM15" s="164" t="s">
        <v>427</v>
      </c>
      <c r="AN15" s="164" t="s">
        <v>428</v>
      </c>
      <c r="AO15" s="164" t="s">
        <v>429</v>
      </c>
      <c r="AP15" s="164" t="s">
        <v>430</v>
      </c>
      <c r="AQ15" s="164" t="s">
        <v>431</v>
      </c>
      <c r="AR15" s="164" t="s">
        <v>432</v>
      </c>
      <c r="AS15" s="164" t="s">
        <v>434</v>
      </c>
      <c r="AT15" s="164" t="s">
        <v>433</v>
      </c>
      <c r="AU15" s="164" t="s">
        <v>435</v>
      </c>
      <c r="BD15" s="18"/>
      <c r="BE15" s="18"/>
      <c r="BF15" s="18"/>
      <c r="BG15" s="18"/>
      <c r="BH15" s="18"/>
    </row>
    <row r="16" spans="2:66" ht="13.9" customHeight="1">
      <c r="B16" s="35" t="str">
        <f>AA53</f>
        <v>Low-Income (50-80%)</v>
      </c>
      <c r="C16" s="173">
        <f t="shared" si="0"/>
        <v>19</v>
      </c>
      <c r="D16" s="173">
        <f t="shared" si="0"/>
        <v>10</v>
      </c>
      <c r="E16" s="173">
        <f t="shared" si="0"/>
        <v>4</v>
      </c>
      <c r="F16" s="173">
        <f t="shared" si="0"/>
        <v>25</v>
      </c>
      <c r="G16" s="173">
        <f t="shared" si="0"/>
        <v>0</v>
      </c>
      <c r="H16" s="173">
        <f t="shared" si="0"/>
        <v>84</v>
      </c>
      <c r="I16" s="221">
        <f t="shared" si="1"/>
        <v>3</v>
      </c>
      <c r="J16" s="173">
        <f>AI103</f>
        <v>145</v>
      </c>
      <c r="W16" s="18"/>
      <c r="AB16" s="103" t="s">
        <v>436</v>
      </c>
      <c r="AC16" s="103" t="s">
        <v>437</v>
      </c>
      <c r="AD16" s="103" t="s">
        <v>438</v>
      </c>
      <c r="AE16" s="103" t="s">
        <v>439</v>
      </c>
      <c r="AF16" s="103" t="s">
        <v>440</v>
      </c>
      <c r="AG16" s="103" t="s">
        <v>441</v>
      </c>
      <c r="AH16" s="103"/>
      <c r="AI16" s="103" t="s">
        <v>442</v>
      </c>
      <c r="AJ16" s="32"/>
      <c r="AM16" s="164" t="s">
        <v>443</v>
      </c>
      <c r="AN16" s="164" t="s">
        <v>444</v>
      </c>
      <c r="AO16" s="164" t="s">
        <v>445</v>
      </c>
      <c r="AP16" s="164" t="s">
        <v>446</v>
      </c>
      <c r="AQ16" s="164" t="s">
        <v>447</v>
      </c>
      <c r="AR16" s="164" t="s">
        <v>436</v>
      </c>
      <c r="AS16" s="164" t="s">
        <v>448</v>
      </c>
      <c r="AT16" s="164" t="s">
        <v>439</v>
      </c>
      <c r="BF16" s="18"/>
      <c r="BG16" s="18"/>
      <c r="BH16" s="18"/>
    </row>
    <row r="17" spans="2:60" ht="13.9" customHeight="1">
      <c r="B17" s="35" t="str">
        <f>AA54</f>
        <v>Moderate Income (80-100%)</v>
      </c>
      <c r="C17" s="173">
        <f t="shared" si="0"/>
        <v>0</v>
      </c>
      <c r="D17" s="173">
        <f t="shared" si="0"/>
        <v>14</v>
      </c>
      <c r="E17" s="173">
        <f t="shared" si="0"/>
        <v>8</v>
      </c>
      <c r="F17" s="173">
        <f t="shared" si="0"/>
        <v>10</v>
      </c>
      <c r="G17" s="173">
        <f t="shared" si="0"/>
        <v>0</v>
      </c>
      <c r="H17" s="173">
        <f t="shared" si="0"/>
        <v>120</v>
      </c>
      <c r="I17" s="221">
        <f t="shared" si="1"/>
        <v>13</v>
      </c>
      <c r="J17" s="173">
        <f>AI104</f>
        <v>165</v>
      </c>
      <c r="W17" s="18"/>
      <c r="AB17" s="103"/>
      <c r="AC17" s="103"/>
      <c r="AD17" s="103"/>
      <c r="AE17" s="103"/>
      <c r="AF17" s="103"/>
      <c r="AG17" s="103"/>
      <c r="AH17" s="103"/>
      <c r="AI17" s="103"/>
      <c r="AJ17" s="32"/>
      <c r="AM17" s="164" t="s">
        <v>449</v>
      </c>
      <c r="AN17" s="164" t="s">
        <v>450</v>
      </c>
      <c r="AO17" s="164" t="s">
        <v>451</v>
      </c>
      <c r="AP17" s="164" t="s">
        <v>452</v>
      </c>
      <c r="AQ17" s="164" t="s">
        <v>453</v>
      </c>
      <c r="AR17" s="164" t="s">
        <v>454</v>
      </c>
      <c r="AS17" s="164" t="s">
        <v>455</v>
      </c>
      <c r="AT17" s="164" t="s">
        <v>456</v>
      </c>
      <c r="BF17" s="18"/>
      <c r="BG17" s="18"/>
      <c r="BH17" s="18"/>
    </row>
    <row r="18" spans="2:60" ht="13.9" customHeight="1">
      <c r="B18" s="102" t="str">
        <f>AA55</f>
        <v>Above Median Income (&gt;100%)</v>
      </c>
      <c r="C18" s="198">
        <f t="shared" si="0"/>
        <v>4</v>
      </c>
      <c r="D18" s="198">
        <f t="shared" si="0"/>
        <v>60</v>
      </c>
      <c r="E18" s="198">
        <f t="shared" si="0"/>
        <v>10</v>
      </c>
      <c r="F18" s="198">
        <f t="shared" si="0"/>
        <v>40</v>
      </c>
      <c r="G18" s="198">
        <f t="shared" si="0"/>
        <v>15</v>
      </c>
      <c r="H18" s="198">
        <f t="shared" si="0"/>
        <v>174</v>
      </c>
      <c r="I18" s="222">
        <f t="shared" si="1"/>
        <v>22</v>
      </c>
      <c r="J18" s="198">
        <f>AI105</f>
        <v>325</v>
      </c>
      <c r="W18" s="18"/>
      <c r="AA18" s="52" t="s">
        <v>457</v>
      </c>
      <c r="AB18" s="103" t="s">
        <v>458</v>
      </c>
      <c r="AC18" s="103" t="s">
        <v>459</v>
      </c>
      <c r="AD18" s="103" t="s">
        <v>460</v>
      </c>
      <c r="AE18" s="103" t="s">
        <v>461</v>
      </c>
      <c r="AF18" s="103" t="s">
        <v>462</v>
      </c>
      <c r="AG18" s="103" t="s">
        <v>463</v>
      </c>
      <c r="AH18" s="103"/>
      <c r="AI18" s="103" t="s">
        <v>434</v>
      </c>
      <c r="AJ18" s="32"/>
      <c r="AL18" s="52" t="s">
        <v>457</v>
      </c>
      <c r="AM18" s="164" t="s">
        <v>464</v>
      </c>
      <c r="AN18" s="164" t="s">
        <v>460</v>
      </c>
      <c r="AO18" s="164" t="s">
        <v>462</v>
      </c>
      <c r="AP18" s="164" t="s">
        <v>458</v>
      </c>
      <c r="AQ18" s="164" t="s">
        <v>461</v>
      </c>
      <c r="AR18" s="164" t="s">
        <v>459</v>
      </c>
      <c r="AS18" s="164" t="s">
        <v>465</v>
      </c>
      <c r="AT18" s="164" t="s">
        <v>463</v>
      </c>
      <c r="BF18" s="18"/>
      <c r="BG18" s="18"/>
      <c r="BH18" s="18"/>
    </row>
    <row r="19" spans="2:60" ht="15" customHeight="1">
      <c r="B19" s="220" t="s">
        <v>466</v>
      </c>
      <c r="C19" s="219">
        <f>SUM(C14:C18)</f>
        <v>23</v>
      </c>
      <c r="D19" s="219">
        <f t="shared" ref="D19:I19" si="2">SUM(D14:D18)</f>
        <v>132</v>
      </c>
      <c r="E19" s="219">
        <f t="shared" si="2"/>
        <v>57</v>
      </c>
      <c r="F19" s="219">
        <f t="shared" si="2"/>
        <v>98</v>
      </c>
      <c r="G19" s="219">
        <f t="shared" si="2"/>
        <v>15</v>
      </c>
      <c r="H19" s="219">
        <f t="shared" si="2"/>
        <v>547</v>
      </c>
      <c r="I19" s="223">
        <f t="shared" si="2"/>
        <v>36</v>
      </c>
      <c r="J19" s="219">
        <f>AI49+AI94</f>
        <v>903</v>
      </c>
      <c r="W19" s="18"/>
      <c r="AB19" s="103" t="s">
        <v>467</v>
      </c>
      <c r="AC19" s="103" t="s">
        <v>447</v>
      </c>
      <c r="AD19" s="103" t="s">
        <v>446</v>
      </c>
      <c r="AE19" s="103" t="s">
        <v>448</v>
      </c>
      <c r="AF19" s="103" t="s">
        <v>443</v>
      </c>
      <c r="AG19" s="103" t="s">
        <v>445</v>
      </c>
      <c r="AH19" s="103"/>
      <c r="AI19" s="103" t="s">
        <v>444</v>
      </c>
      <c r="AJ19" s="32"/>
      <c r="AM19" s="164" t="s">
        <v>468</v>
      </c>
      <c r="AN19" s="164" t="s">
        <v>469</v>
      </c>
      <c r="AO19" s="164" t="s">
        <v>470</v>
      </c>
      <c r="AP19" s="164" t="s">
        <v>471</v>
      </c>
      <c r="AQ19" s="164" t="s">
        <v>472</v>
      </c>
      <c r="AR19" s="164" t="s">
        <v>473</v>
      </c>
      <c r="AS19" s="164" t="s">
        <v>474</v>
      </c>
      <c r="AT19" s="164" t="s">
        <v>467</v>
      </c>
    </row>
    <row r="20" spans="2:60" ht="13.9" customHeight="1">
      <c r="C20" s="173"/>
      <c r="D20" s="173"/>
      <c r="E20" s="173"/>
      <c r="F20" s="173"/>
      <c r="G20" s="173"/>
      <c r="H20" s="173"/>
      <c r="I20" s="173"/>
      <c r="J20" s="180"/>
      <c r="W20" s="18"/>
      <c r="AB20" s="103"/>
      <c r="AC20" s="103"/>
      <c r="AD20" s="103"/>
      <c r="AE20" s="103"/>
      <c r="AF20" s="103"/>
      <c r="AG20" s="103"/>
      <c r="AH20" s="103"/>
      <c r="AI20" s="103"/>
      <c r="AJ20" s="32"/>
      <c r="AM20" s="164" t="s">
        <v>475</v>
      </c>
      <c r="AN20" s="164" t="s">
        <v>476</v>
      </c>
      <c r="AO20" s="164" t="s">
        <v>477</v>
      </c>
      <c r="AP20" s="164" t="s">
        <v>478</v>
      </c>
      <c r="AQ20" s="164" t="s">
        <v>479</v>
      </c>
      <c r="AR20" s="164" t="s">
        <v>480</v>
      </c>
      <c r="AS20" s="164" t="s">
        <v>481</v>
      </c>
      <c r="AT20" s="164" t="s">
        <v>482</v>
      </c>
      <c r="BF20" s="18"/>
      <c r="BG20" s="18"/>
      <c r="BH20" s="18"/>
    </row>
    <row r="21" spans="2:60" ht="13.9" customHeight="1">
      <c r="B21" s="163" t="s">
        <v>483</v>
      </c>
      <c r="C21" s="174"/>
      <c r="D21" s="174"/>
      <c r="E21" s="174"/>
      <c r="F21" s="174"/>
      <c r="G21" s="174"/>
      <c r="H21" s="174"/>
      <c r="I21" s="257" t="s">
        <v>484</v>
      </c>
      <c r="M21" s="17"/>
      <c r="W21" s="18"/>
      <c r="AA21" s="52" t="s">
        <v>485</v>
      </c>
      <c r="AB21" s="103" t="s">
        <v>486</v>
      </c>
      <c r="AC21" s="103" t="s">
        <v>487</v>
      </c>
      <c r="AD21" s="103" t="s">
        <v>488</v>
      </c>
      <c r="AE21" s="103" t="s">
        <v>489</v>
      </c>
      <c r="AF21" s="103" t="s">
        <v>490</v>
      </c>
      <c r="AG21" s="103" t="s">
        <v>465</v>
      </c>
      <c r="AH21" s="103"/>
      <c r="AI21" s="103" t="s">
        <v>464</v>
      </c>
      <c r="AJ21" s="32"/>
      <c r="AL21" s="52" t="s">
        <v>485</v>
      </c>
      <c r="AM21" s="164" t="s">
        <v>491</v>
      </c>
      <c r="AN21" s="164" t="s">
        <v>490</v>
      </c>
      <c r="AO21" s="164" t="s">
        <v>489</v>
      </c>
      <c r="AP21" s="164" t="s">
        <v>492</v>
      </c>
      <c r="AQ21" s="164" t="s">
        <v>486</v>
      </c>
      <c r="AR21" s="164" t="s">
        <v>488</v>
      </c>
      <c r="AS21" s="164" t="s">
        <v>493</v>
      </c>
      <c r="AT21" s="164" t="s">
        <v>487</v>
      </c>
      <c r="BF21" s="18"/>
      <c r="BG21" s="18"/>
      <c r="BH21" s="18"/>
    </row>
    <row r="22" spans="2:60" ht="13.9" customHeight="1">
      <c r="B22" s="35" t="str">
        <f>AA51</f>
        <v>Extremely Low-Income (≤30% AMI)</v>
      </c>
      <c r="C22" s="171">
        <f t="shared" ref="C22:I26" si="3">C14/$J14</f>
        <v>0</v>
      </c>
      <c r="D22" s="171">
        <f t="shared" si="3"/>
        <v>0.23076923076923078</v>
      </c>
      <c r="E22" s="171">
        <f t="shared" si="3"/>
        <v>0</v>
      </c>
      <c r="F22" s="171">
        <f t="shared" si="3"/>
        <v>0.18269230769230768</v>
      </c>
      <c r="G22" s="171">
        <f t="shared" si="3"/>
        <v>0</v>
      </c>
      <c r="H22" s="171">
        <f t="shared" si="3"/>
        <v>0.56730769230769229</v>
      </c>
      <c r="I22" s="171">
        <f t="shared" si="3"/>
        <v>1.9230769230769232E-2</v>
      </c>
      <c r="W22" s="18"/>
      <c r="AB22" s="103" t="s">
        <v>474</v>
      </c>
      <c r="AC22" s="103" t="s">
        <v>470</v>
      </c>
      <c r="AD22" s="103" t="s">
        <v>472</v>
      </c>
      <c r="AE22" s="103" t="s">
        <v>468</v>
      </c>
      <c r="AF22" s="103" t="s">
        <v>471</v>
      </c>
      <c r="AG22" s="103" t="s">
        <v>469</v>
      </c>
      <c r="AH22" s="103"/>
      <c r="AI22" s="103" t="s">
        <v>473</v>
      </c>
      <c r="AJ22" s="32"/>
      <c r="AM22" s="164" t="s">
        <v>494</v>
      </c>
      <c r="AN22" s="164" t="s">
        <v>495</v>
      </c>
      <c r="AO22" s="164" t="s">
        <v>496</v>
      </c>
      <c r="AP22" s="164" t="s">
        <v>497</v>
      </c>
      <c r="AQ22" s="164" t="s">
        <v>498</v>
      </c>
      <c r="AR22" s="164" t="s">
        <v>499</v>
      </c>
      <c r="AS22" s="164" t="s">
        <v>500</v>
      </c>
      <c r="AT22" s="164" t="s">
        <v>501</v>
      </c>
      <c r="BF22" s="18"/>
      <c r="BG22" s="18"/>
      <c r="BH22" s="18"/>
    </row>
    <row r="23" spans="2:60" ht="13.9" customHeight="1">
      <c r="B23" s="35" t="str">
        <f>AA52</f>
        <v>Very Low-Income (30-50%)</v>
      </c>
      <c r="C23" s="171">
        <f t="shared" si="3"/>
        <v>0</v>
      </c>
      <c r="D23" s="171">
        <f t="shared" si="3"/>
        <v>0.14201183431952663</v>
      </c>
      <c r="E23" s="171">
        <f t="shared" si="3"/>
        <v>0.20710059171597633</v>
      </c>
      <c r="F23" s="171">
        <f t="shared" si="3"/>
        <v>2.3668639053254437E-2</v>
      </c>
      <c r="G23" s="171">
        <f t="shared" si="3"/>
        <v>0</v>
      </c>
      <c r="H23" s="171">
        <f t="shared" si="3"/>
        <v>0.65088757396449703</v>
      </c>
      <c r="I23" s="171">
        <f t="shared" si="3"/>
        <v>-2.3668639053254437E-2</v>
      </c>
      <c r="W23" s="18"/>
      <c r="AB23" s="103"/>
      <c r="AC23" s="103"/>
      <c r="AD23" s="103"/>
      <c r="AE23" s="103"/>
      <c r="AF23" s="103"/>
      <c r="AG23" s="103"/>
      <c r="AH23" s="103"/>
      <c r="AI23" s="103"/>
      <c r="AJ23" s="32"/>
      <c r="AM23" s="164" t="s">
        <v>502</v>
      </c>
      <c r="AN23" s="164" t="s">
        <v>503</v>
      </c>
      <c r="AO23" s="164" t="s">
        <v>504</v>
      </c>
      <c r="AP23" s="164" t="s">
        <v>505</v>
      </c>
      <c r="AQ23" s="164" t="s">
        <v>506</v>
      </c>
      <c r="AR23" s="164" t="s">
        <v>507</v>
      </c>
      <c r="AS23" s="164" t="s">
        <v>508</v>
      </c>
      <c r="AT23" s="164" t="s">
        <v>509</v>
      </c>
      <c r="BF23" s="18"/>
      <c r="BG23" s="18"/>
      <c r="BH23" s="18"/>
    </row>
    <row r="24" spans="2:60" ht="13.9" customHeight="1">
      <c r="B24" s="35" t="str">
        <f>AA53</f>
        <v>Low-Income (50-80%)</v>
      </c>
      <c r="C24" s="171">
        <f t="shared" si="3"/>
        <v>0.1310344827586207</v>
      </c>
      <c r="D24" s="171">
        <f t="shared" si="3"/>
        <v>6.8965517241379309E-2</v>
      </c>
      <c r="E24" s="171">
        <f t="shared" si="3"/>
        <v>2.7586206896551724E-2</v>
      </c>
      <c r="F24" s="171">
        <f t="shared" si="3"/>
        <v>0.17241379310344829</v>
      </c>
      <c r="G24" s="171">
        <f t="shared" si="3"/>
        <v>0</v>
      </c>
      <c r="H24" s="171">
        <f t="shared" si="3"/>
        <v>0.57931034482758625</v>
      </c>
      <c r="I24" s="171">
        <f t="shared" si="3"/>
        <v>2.0689655172413793E-2</v>
      </c>
      <c r="W24" s="18"/>
      <c r="AA24" s="52" t="s">
        <v>510</v>
      </c>
      <c r="AB24" s="103" t="s">
        <v>511</v>
      </c>
      <c r="AC24" s="103" t="s">
        <v>493</v>
      </c>
      <c r="AD24" s="103" t="s">
        <v>512</v>
      </c>
      <c r="AE24" s="103" t="s">
        <v>513</v>
      </c>
      <c r="AF24" s="103" t="s">
        <v>514</v>
      </c>
      <c r="AG24" s="103" t="s">
        <v>491</v>
      </c>
      <c r="AH24" s="103"/>
      <c r="AI24" s="103" t="s">
        <v>492</v>
      </c>
      <c r="AL24" s="52" t="s">
        <v>510</v>
      </c>
      <c r="AM24" s="164" t="s">
        <v>515</v>
      </c>
      <c r="AN24" s="164" t="s">
        <v>513</v>
      </c>
      <c r="AO24" s="164" t="s">
        <v>511</v>
      </c>
      <c r="AP24" s="164" t="s">
        <v>516</v>
      </c>
      <c r="AQ24" s="164" t="s">
        <v>517</v>
      </c>
      <c r="AR24" s="164" t="s">
        <v>514</v>
      </c>
      <c r="AS24" s="164" t="s">
        <v>518</v>
      </c>
      <c r="AT24" s="164" t="s">
        <v>512</v>
      </c>
      <c r="BF24" s="18"/>
      <c r="BG24" s="18"/>
      <c r="BH24" s="18"/>
    </row>
    <row r="25" spans="2:60" ht="13.9" customHeight="1">
      <c r="B25" s="35" t="str">
        <f>AA54</f>
        <v>Moderate Income (80-100%)</v>
      </c>
      <c r="C25" s="171">
        <f t="shared" si="3"/>
        <v>0</v>
      </c>
      <c r="D25" s="171">
        <f t="shared" si="3"/>
        <v>8.4848484848484854E-2</v>
      </c>
      <c r="E25" s="171">
        <f t="shared" si="3"/>
        <v>4.8484848484848485E-2</v>
      </c>
      <c r="F25" s="171">
        <f t="shared" si="3"/>
        <v>6.0606060606060608E-2</v>
      </c>
      <c r="G25" s="171">
        <f t="shared" si="3"/>
        <v>0</v>
      </c>
      <c r="H25" s="171">
        <f t="shared" si="3"/>
        <v>0.72727272727272729</v>
      </c>
      <c r="I25" s="171">
        <f t="shared" si="3"/>
        <v>7.8787878787878782E-2</v>
      </c>
      <c r="W25" s="18"/>
      <c r="AB25" s="103" t="s">
        <v>494</v>
      </c>
      <c r="AC25" s="103" t="s">
        <v>495</v>
      </c>
      <c r="AD25" s="103" t="s">
        <v>496</v>
      </c>
      <c r="AE25" s="103" t="s">
        <v>497</v>
      </c>
      <c r="AF25" s="103" t="s">
        <v>498</v>
      </c>
      <c r="AG25" s="103" t="s">
        <v>499</v>
      </c>
      <c r="AH25" s="103"/>
      <c r="AI25" s="103" t="s">
        <v>501</v>
      </c>
      <c r="AM25" s="164" t="s">
        <v>519</v>
      </c>
      <c r="AN25" s="164" t="s">
        <v>520</v>
      </c>
      <c r="AO25" s="164" t="s">
        <v>521</v>
      </c>
      <c r="AP25" s="164" t="s">
        <v>522</v>
      </c>
      <c r="AQ25" s="164" t="s">
        <v>523</v>
      </c>
      <c r="AR25" s="164" t="s">
        <v>524</v>
      </c>
      <c r="AS25" s="164" t="s">
        <v>525</v>
      </c>
      <c r="AT25" s="164" t="s">
        <v>526</v>
      </c>
      <c r="BF25" s="18"/>
      <c r="BG25" s="18"/>
      <c r="BH25" s="18"/>
    </row>
    <row r="26" spans="2:60" ht="13.9" customHeight="1">
      <c r="B26" s="102" t="str">
        <f>AA55</f>
        <v>Above Median Income (&gt;100%)</v>
      </c>
      <c r="C26" s="172">
        <f t="shared" si="3"/>
        <v>1.2307692307692308E-2</v>
      </c>
      <c r="D26" s="172">
        <f t="shared" si="3"/>
        <v>0.18461538461538463</v>
      </c>
      <c r="E26" s="172">
        <f t="shared" si="3"/>
        <v>3.0769230769230771E-2</v>
      </c>
      <c r="F26" s="172">
        <f t="shared" si="3"/>
        <v>0.12307692307692308</v>
      </c>
      <c r="G26" s="172">
        <f t="shared" si="3"/>
        <v>4.6153846153846156E-2</v>
      </c>
      <c r="H26" s="172">
        <f t="shared" si="3"/>
        <v>0.53538461538461535</v>
      </c>
      <c r="I26" s="172">
        <f t="shared" si="3"/>
        <v>6.7692307692307691E-2</v>
      </c>
      <c r="W26" s="18"/>
      <c r="AB26" s="103"/>
      <c r="AC26" s="103"/>
      <c r="AD26" s="103"/>
      <c r="AE26" s="103"/>
      <c r="AF26" s="103"/>
      <c r="AG26" s="103"/>
      <c r="AH26" s="103"/>
      <c r="AI26" s="103"/>
      <c r="AM26" s="164" t="s">
        <v>527</v>
      </c>
      <c r="AN26" s="164" t="s">
        <v>528</v>
      </c>
      <c r="AO26" s="164" t="s">
        <v>529</v>
      </c>
      <c r="AP26" s="164" t="s">
        <v>530</v>
      </c>
      <c r="AQ26" s="164" t="s">
        <v>531</v>
      </c>
      <c r="AR26" s="164" t="s">
        <v>532</v>
      </c>
      <c r="AS26" s="164" t="s">
        <v>533</v>
      </c>
      <c r="AT26" s="164" t="s">
        <v>534</v>
      </c>
      <c r="BF26" s="18"/>
      <c r="BG26" s="18"/>
      <c r="BH26" s="18"/>
    </row>
    <row r="27" spans="2:60" ht="13.9" customHeight="1">
      <c r="B27" s="49" t="s">
        <v>535</v>
      </c>
      <c r="W27" s="18"/>
      <c r="AA27" s="52" t="s">
        <v>536</v>
      </c>
      <c r="AB27" s="103" t="s">
        <v>537</v>
      </c>
      <c r="AC27" s="103" t="s">
        <v>515</v>
      </c>
      <c r="AD27" s="103" t="s">
        <v>518</v>
      </c>
      <c r="AE27" s="103" t="s">
        <v>538</v>
      </c>
      <c r="AF27" s="103" t="s">
        <v>539</v>
      </c>
      <c r="AG27" s="103" t="s">
        <v>516</v>
      </c>
      <c r="AH27" s="103"/>
      <c r="AI27" s="103" t="s">
        <v>517</v>
      </c>
      <c r="AL27" s="52" t="s">
        <v>536</v>
      </c>
      <c r="AM27" s="164" t="s">
        <v>437</v>
      </c>
      <c r="AN27" s="164" t="s">
        <v>537</v>
      </c>
      <c r="AO27" s="164" t="s">
        <v>540</v>
      </c>
      <c r="AP27" s="164" t="s">
        <v>441</v>
      </c>
      <c r="AQ27" s="164" t="s">
        <v>442</v>
      </c>
      <c r="AR27" s="164" t="s">
        <v>538</v>
      </c>
      <c r="AS27" s="164" t="s">
        <v>438</v>
      </c>
      <c r="AT27" s="164" t="s">
        <v>539</v>
      </c>
      <c r="BF27" s="18"/>
      <c r="BG27" s="18"/>
      <c r="BH27" s="18"/>
    </row>
    <row r="28" spans="2:60" ht="18" customHeight="1">
      <c r="B28" s="336" t="s">
        <v>541</v>
      </c>
      <c r="C28" s="336"/>
      <c r="D28" s="336"/>
      <c r="E28" s="336"/>
      <c r="F28" s="336"/>
      <c r="G28" s="336"/>
      <c r="H28" s="336"/>
      <c r="I28" s="336"/>
      <c r="W28" s="18"/>
      <c r="AB28" s="103" t="s">
        <v>522</v>
      </c>
      <c r="AC28" s="103" t="s">
        <v>524</v>
      </c>
      <c r="AD28" s="103" t="s">
        <v>520</v>
      </c>
      <c r="AE28" s="103" t="s">
        <v>523</v>
      </c>
      <c r="AF28" s="103" t="s">
        <v>521</v>
      </c>
      <c r="AG28" s="103" t="s">
        <v>526</v>
      </c>
      <c r="AH28" s="103"/>
      <c r="AI28" s="103" t="s">
        <v>500</v>
      </c>
      <c r="AM28" s="164" t="s">
        <v>542</v>
      </c>
      <c r="AN28" s="164" t="s">
        <v>543</v>
      </c>
      <c r="AO28" s="164" t="s">
        <v>544</v>
      </c>
      <c r="AP28" s="164" t="s">
        <v>545</v>
      </c>
      <c r="AQ28" s="164" t="s">
        <v>546</v>
      </c>
      <c r="AR28" s="164" t="s">
        <v>547</v>
      </c>
      <c r="AS28" s="164" t="s">
        <v>548</v>
      </c>
      <c r="AT28" s="164" t="s">
        <v>549</v>
      </c>
      <c r="BF28" s="18"/>
      <c r="BG28" s="18"/>
      <c r="BH28" s="18"/>
    </row>
    <row r="29" spans="2:60" ht="12.75" customHeight="1">
      <c r="B29" s="336"/>
      <c r="C29" s="336"/>
      <c r="D29" s="336"/>
      <c r="E29" s="336"/>
      <c r="F29" s="336"/>
      <c r="G29" s="336"/>
      <c r="H29" s="336"/>
      <c r="I29" s="336"/>
      <c r="W29" s="18"/>
      <c r="AB29" s="103"/>
      <c r="AC29" s="103"/>
      <c r="AD29" s="103"/>
      <c r="AE29" s="103"/>
      <c r="AF29" s="103"/>
      <c r="AG29" s="103"/>
      <c r="AH29" s="103"/>
      <c r="AI29" s="103"/>
      <c r="AM29" s="164" t="s">
        <v>550</v>
      </c>
      <c r="AN29" s="164" t="s">
        <v>551</v>
      </c>
      <c r="AO29" s="164" t="s">
        <v>552</v>
      </c>
      <c r="AP29" s="164" t="s">
        <v>553</v>
      </c>
      <c r="AQ29" s="164" t="s">
        <v>554</v>
      </c>
      <c r="AR29" s="164" t="s">
        <v>555</v>
      </c>
      <c r="AS29" s="164" t="s">
        <v>556</v>
      </c>
      <c r="AT29" s="164" t="s">
        <v>557</v>
      </c>
      <c r="BF29" s="18"/>
      <c r="BG29" s="18"/>
      <c r="BH29" s="18"/>
    </row>
    <row r="30" spans="2:60" ht="22.5" customHeight="1">
      <c r="B30" s="251"/>
      <c r="C30" s="251"/>
      <c r="D30" s="251"/>
      <c r="E30" s="251"/>
      <c r="F30" s="251"/>
      <c r="G30" s="251"/>
      <c r="H30" s="251"/>
      <c r="I30" s="251"/>
      <c r="W30" s="18"/>
      <c r="AA30" s="77" t="s">
        <v>189</v>
      </c>
      <c r="AB30" s="103"/>
      <c r="AC30" s="103"/>
      <c r="AD30" s="103"/>
      <c r="AE30" s="103"/>
      <c r="AF30" s="103"/>
      <c r="AG30" s="103"/>
      <c r="AH30" s="103"/>
      <c r="AI30" s="103" t="s">
        <v>435</v>
      </c>
      <c r="AM30" s="164"/>
      <c r="AN30" s="164"/>
      <c r="AO30" s="164"/>
      <c r="AP30" s="164"/>
      <c r="AQ30" s="164"/>
      <c r="AR30" s="164"/>
      <c r="AS30" s="164"/>
      <c r="AT30" s="164"/>
      <c r="BF30" s="18"/>
      <c r="BG30" s="18"/>
      <c r="BH30" s="18"/>
    </row>
    <row r="31" spans="2:60" ht="18.75" customHeight="1">
      <c r="B31" s="333" t="str">
        <f>"Chart 13. "&amp;City_label&amp;" number of households by income category and race, 2019"</f>
        <v>Chart 13. Algona number of households by income category and race, 2019</v>
      </c>
      <c r="C31" s="333"/>
      <c r="D31" s="333"/>
      <c r="E31" s="333"/>
      <c r="F31" s="333"/>
      <c r="G31" s="333"/>
      <c r="H31" s="333"/>
      <c r="I31" s="333"/>
      <c r="J31" s="333"/>
      <c r="W31" s="18"/>
      <c r="BF31" s="18"/>
      <c r="BG31" s="18"/>
      <c r="BH31" s="18"/>
    </row>
    <row r="32" spans="2:60" ht="17.25" customHeight="1">
      <c r="B32" s="333"/>
      <c r="C32" s="333"/>
      <c r="D32" s="333"/>
      <c r="E32" s="333"/>
      <c r="F32" s="333"/>
      <c r="G32" s="333"/>
      <c r="H32" s="333"/>
      <c r="I32" s="333"/>
      <c r="J32" s="333"/>
      <c r="AJ32" s="77" t="s">
        <v>558</v>
      </c>
      <c r="AU32" s="77" t="s">
        <v>199</v>
      </c>
      <c r="BF32" s="18"/>
      <c r="BG32" s="18"/>
      <c r="BH32" s="18"/>
    </row>
    <row r="33" spans="27:60" ht="17.25" customHeight="1">
      <c r="AA33" s="52" t="s">
        <v>426</v>
      </c>
      <c r="AB33" s="165">
        <v>15</v>
      </c>
      <c r="AC33" s="165">
        <v>0</v>
      </c>
      <c r="AD33" s="165">
        <v>0</v>
      </c>
      <c r="AE33" s="165">
        <v>0</v>
      </c>
      <c r="AF33" s="165">
        <v>0</v>
      </c>
      <c r="AG33" s="165">
        <v>35</v>
      </c>
      <c r="AH33" s="165"/>
      <c r="AI33" s="165">
        <v>55</v>
      </c>
      <c r="AJ33" s="78">
        <f>(SUM(AB33:AH33))-AI33</f>
        <v>-5</v>
      </c>
      <c r="AL33" s="23" t="s">
        <v>426</v>
      </c>
      <c r="AM33" s="165">
        <v>20</v>
      </c>
      <c r="AN33" s="165">
        <v>10</v>
      </c>
      <c r="AO33" s="165">
        <v>10</v>
      </c>
      <c r="AP33" s="165">
        <v>4</v>
      </c>
      <c r="AQ33" s="165">
        <v>0</v>
      </c>
      <c r="AR33" s="165">
        <v>70</v>
      </c>
      <c r="AS33" s="165">
        <v>0</v>
      </c>
      <c r="AT33" s="165">
        <v>115</v>
      </c>
      <c r="AU33" s="78">
        <f t="shared" ref="AU33:AU47" si="4">(SUM(AM33:AS33))-AT33</f>
        <v>-1</v>
      </c>
      <c r="AV33" s="78"/>
      <c r="BE33" s="18"/>
      <c r="BF33" s="18"/>
      <c r="BG33" s="18"/>
      <c r="BH33" s="18"/>
    </row>
    <row r="34" spans="27:60" ht="17.25" customHeight="1">
      <c r="AB34" s="165">
        <v>4</v>
      </c>
      <c r="AC34" s="165">
        <v>0</v>
      </c>
      <c r="AD34" s="165">
        <v>20</v>
      </c>
      <c r="AE34" s="165">
        <v>0</v>
      </c>
      <c r="AF34" s="165">
        <v>0</v>
      </c>
      <c r="AG34" s="165">
        <v>10</v>
      </c>
      <c r="AH34" s="165"/>
      <c r="AI34" s="165">
        <v>35</v>
      </c>
      <c r="AJ34" s="78">
        <f>(SUM(AB34:AH34))-AI34</f>
        <v>-1</v>
      </c>
      <c r="AM34" s="165">
        <v>0</v>
      </c>
      <c r="AN34" s="165">
        <v>0</v>
      </c>
      <c r="AO34" s="165">
        <v>0</v>
      </c>
      <c r="AP34" s="165">
        <v>0</v>
      </c>
      <c r="AQ34" s="165">
        <v>0</v>
      </c>
      <c r="AR34" s="165">
        <v>0</v>
      </c>
      <c r="AS34" s="165">
        <v>0</v>
      </c>
      <c r="AT34" s="165">
        <v>0</v>
      </c>
      <c r="AU34" s="78">
        <f t="shared" si="4"/>
        <v>0</v>
      </c>
      <c r="AV34" s="78"/>
      <c r="BC34" s="19"/>
      <c r="BD34" s="18"/>
      <c r="BE34" s="18"/>
      <c r="BF34" s="18"/>
      <c r="BG34" s="18"/>
      <c r="BH34" s="18"/>
    </row>
    <row r="35" spans="27:60" ht="13.9" customHeight="1">
      <c r="AB35" s="165"/>
      <c r="AC35" s="165"/>
      <c r="AD35" s="165"/>
      <c r="AE35" s="165"/>
      <c r="AF35" s="165"/>
      <c r="AG35" s="165"/>
      <c r="AH35" s="165"/>
      <c r="AI35" s="165"/>
      <c r="AJ35" s="78"/>
      <c r="AM35" s="165">
        <v>0</v>
      </c>
      <c r="AN35" s="165">
        <v>0</v>
      </c>
      <c r="AO35" s="165">
        <v>4</v>
      </c>
      <c r="AP35" s="165">
        <v>0</v>
      </c>
      <c r="AQ35" s="165">
        <v>0</v>
      </c>
      <c r="AR35" s="165">
        <v>0</v>
      </c>
      <c r="AS35" s="165">
        <v>0</v>
      </c>
      <c r="AT35" s="165">
        <v>4</v>
      </c>
      <c r="AU35" s="78">
        <f t="shared" si="4"/>
        <v>0</v>
      </c>
      <c r="AV35" s="78"/>
      <c r="BC35" s="19"/>
      <c r="BD35" s="18"/>
      <c r="BE35" s="18"/>
      <c r="BF35" s="18"/>
      <c r="BG35" s="18"/>
      <c r="BH35" s="18"/>
    </row>
    <row r="36" spans="27:60" ht="13.9" customHeight="1">
      <c r="AA36" s="52" t="s">
        <v>457</v>
      </c>
      <c r="AB36" s="165">
        <v>0</v>
      </c>
      <c r="AC36" s="165">
        <v>10</v>
      </c>
      <c r="AD36" s="165">
        <v>10</v>
      </c>
      <c r="AE36" s="165">
        <v>0</v>
      </c>
      <c r="AF36" s="165">
        <v>0</v>
      </c>
      <c r="AG36" s="165">
        <v>55</v>
      </c>
      <c r="AH36" s="165"/>
      <c r="AI36" s="165">
        <v>70</v>
      </c>
      <c r="AJ36" s="78">
        <f>(SUM(AB36:AH36))-AI36</f>
        <v>5</v>
      </c>
      <c r="AL36" s="52" t="s">
        <v>457</v>
      </c>
      <c r="AM36" s="165">
        <v>15</v>
      </c>
      <c r="AN36" s="165">
        <v>0</v>
      </c>
      <c r="AO36" s="165">
        <v>20</v>
      </c>
      <c r="AP36" s="165">
        <v>0</v>
      </c>
      <c r="AQ36" s="165">
        <v>0</v>
      </c>
      <c r="AR36" s="165">
        <v>70</v>
      </c>
      <c r="AS36" s="165">
        <v>0</v>
      </c>
      <c r="AT36" s="165">
        <v>105</v>
      </c>
      <c r="AU36" s="78">
        <f t="shared" si="4"/>
        <v>0</v>
      </c>
      <c r="AV36" s="78"/>
      <c r="BC36" s="19"/>
      <c r="BD36" s="18"/>
      <c r="BE36" s="18"/>
      <c r="BF36" s="18"/>
      <c r="BG36" s="18"/>
      <c r="BH36" s="18"/>
    </row>
    <row r="37" spans="27:60" ht="13.9" customHeight="1">
      <c r="AB37" s="165">
        <v>0</v>
      </c>
      <c r="AC37" s="165">
        <v>0</v>
      </c>
      <c r="AD37" s="165">
        <v>0</v>
      </c>
      <c r="AE37" s="165">
        <v>0</v>
      </c>
      <c r="AF37" s="165">
        <v>0</v>
      </c>
      <c r="AG37" s="165">
        <v>25</v>
      </c>
      <c r="AH37" s="165"/>
      <c r="AI37" s="165">
        <v>25</v>
      </c>
      <c r="AJ37" s="78">
        <f>(SUM(AB37:AH37))-AI37</f>
        <v>0</v>
      </c>
      <c r="AM37" s="165">
        <v>0</v>
      </c>
      <c r="AN37" s="165">
        <v>0</v>
      </c>
      <c r="AO37" s="165">
        <v>0</v>
      </c>
      <c r="AP37" s="165">
        <v>0</v>
      </c>
      <c r="AQ37" s="165">
        <v>0</v>
      </c>
      <c r="AR37" s="165">
        <v>10</v>
      </c>
      <c r="AS37" s="165">
        <v>0</v>
      </c>
      <c r="AT37" s="165">
        <v>10</v>
      </c>
      <c r="AU37" s="78">
        <f t="shared" si="4"/>
        <v>0</v>
      </c>
      <c r="AV37" s="78"/>
      <c r="BC37" s="19"/>
      <c r="BD37" s="18"/>
      <c r="BE37" s="18"/>
      <c r="BF37" s="18"/>
      <c r="BG37" s="18"/>
      <c r="BH37" s="18"/>
    </row>
    <row r="38" spans="27:60" ht="13.9" customHeight="1">
      <c r="AB38" s="165"/>
      <c r="AC38" s="165"/>
      <c r="AD38" s="165"/>
      <c r="AE38" s="165"/>
      <c r="AF38" s="165"/>
      <c r="AG38" s="165"/>
      <c r="AH38" s="165"/>
      <c r="AI38" s="165"/>
      <c r="AJ38" s="78"/>
      <c r="AM38" s="165">
        <v>0</v>
      </c>
      <c r="AN38" s="165">
        <v>0</v>
      </c>
      <c r="AO38" s="165">
        <v>0</v>
      </c>
      <c r="AP38" s="165">
        <v>0</v>
      </c>
      <c r="AQ38" s="165">
        <v>0</v>
      </c>
      <c r="AR38" s="165">
        <v>0</v>
      </c>
      <c r="AS38" s="165">
        <v>0</v>
      </c>
      <c r="AT38" s="165">
        <v>0</v>
      </c>
      <c r="AU38" s="78">
        <f t="shared" si="4"/>
        <v>0</v>
      </c>
      <c r="AV38" s="78"/>
      <c r="BC38" s="19"/>
      <c r="BD38" s="18"/>
      <c r="BE38" s="18"/>
      <c r="BF38" s="18"/>
      <c r="BG38" s="18"/>
      <c r="BH38" s="18"/>
    </row>
    <row r="39" spans="27:60" ht="13.9" customHeight="1">
      <c r="AA39" s="52" t="s">
        <v>485</v>
      </c>
      <c r="AB39" s="165">
        <v>0</v>
      </c>
      <c r="AC39" s="165">
        <v>4</v>
      </c>
      <c r="AD39" s="165">
        <v>10</v>
      </c>
      <c r="AE39" s="165">
        <v>0</v>
      </c>
      <c r="AF39" s="165">
        <v>4</v>
      </c>
      <c r="AG39" s="165">
        <v>25</v>
      </c>
      <c r="AH39" s="165"/>
      <c r="AI39" s="165">
        <v>45</v>
      </c>
      <c r="AJ39" s="78">
        <f>(SUM(AB39:AH39))-AI39</f>
        <v>-2</v>
      </c>
      <c r="AL39" s="52" t="s">
        <v>485</v>
      </c>
      <c r="AM39" s="165">
        <v>0</v>
      </c>
      <c r="AN39" s="165">
        <v>0</v>
      </c>
      <c r="AO39" s="165">
        <v>0</v>
      </c>
      <c r="AP39" s="165">
        <v>10</v>
      </c>
      <c r="AQ39" s="165">
        <v>0</v>
      </c>
      <c r="AR39" s="165">
        <v>85</v>
      </c>
      <c r="AS39" s="165">
        <v>0</v>
      </c>
      <c r="AT39" s="165">
        <v>90</v>
      </c>
      <c r="AU39" s="78">
        <f t="shared" si="4"/>
        <v>5</v>
      </c>
      <c r="AV39" s="78"/>
      <c r="BC39" s="19"/>
      <c r="BD39" s="18"/>
      <c r="BE39" s="18"/>
      <c r="BF39" s="18"/>
      <c r="BG39" s="18"/>
      <c r="BH39" s="18"/>
    </row>
    <row r="40" spans="27:60" ht="13.9" customHeight="1">
      <c r="AB40" s="165">
        <v>0</v>
      </c>
      <c r="AC40" s="165">
        <v>0</v>
      </c>
      <c r="AD40" s="165">
        <v>0</v>
      </c>
      <c r="AE40" s="165">
        <v>0</v>
      </c>
      <c r="AF40" s="165">
        <v>15</v>
      </c>
      <c r="AG40" s="165">
        <v>25</v>
      </c>
      <c r="AH40" s="165"/>
      <c r="AI40" s="165">
        <v>40</v>
      </c>
      <c r="AJ40" s="78">
        <f>(SUM(AB40:AH40))-AI40</f>
        <v>0</v>
      </c>
      <c r="AM40" s="165">
        <v>0</v>
      </c>
      <c r="AN40" s="165">
        <v>0</v>
      </c>
      <c r="AO40" s="165">
        <v>10</v>
      </c>
      <c r="AP40" s="165">
        <v>0</v>
      </c>
      <c r="AQ40" s="165">
        <v>0</v>
      </c>
      <c r="AR40" s="165">
        <v>35</v>
      </c>
      <c r="AS40" s="165">
        <v>0</v>
      </c>
      <c r="AT40" s="165">
        <v>45</v>
      </c>
      <c r="AU40" s="78">
        <f t="shared" si="4"/>
        <v>0</v>
      </c>
      <c r="AV40" s="78"/>
      <c r="AZ40" s="18"/>
      <c r="BA40" s="18"/>
      <c r="BB40" s="18"/>
      <c r="BC40" s="18"/>
      <c r="BD40" s="18"/>
    </row>
    <row r="41" spans="27:60" ht="13.9" customHeight="1">
      <c r="AB41" s="165"/>
      <c r="AC41" s="165"/>
      <c r="AD41" s="165"/>
      <c r="AE41" s="165"/>
      <c r="AF41" s="165"/>
      <c r="AG41" s="165"/>
      <c r="AH41" s="165"/>
      <c r="AI41" s="165"/>
      <c r="AJ41" s="78"/>
      <c r="AM41" s="165">
        <v>0</v>
      </c>
      <c r="AN41" s="165">
        <v>0</v>
      </c>
      <c r="AO41" s="165">
        <v>0</v>
      </c>
      <c r="AP41" s="165">
        <v>0</v>
      </c>
      <c r="AQ41" s="165">
        <v>0</v>
      </c>
      <c r="AR41" s="165">
        <v>0</v>
      </c>
      <c r="AS41" s="165">
        <v>0</v>
      </c>
      <c r="AT41" s="165">
        <v>0</v>
      </c>
      <c r="AU41" s="78">
        <f t="shared" si="4"/>
        <v>0</v>
      </c>
      <c r="AV41" s="78"/>
      <c r="AZ41" s="18"/>
      <c r="BA41" s="18"/>
      <c r="BB41" s="18"/>
      <c r="BC41" s="18"/>
      <c r="BD41" s="18"/>
    </row>
    <row r="42" spans="27:60" ht="13.9" customHeight="1">
      <c r="AA42" s="52" t="s">
        <v>510</v>
      </c>
      <c r="AB42" s="165">
        <v>0</v>
      </c>
      <c r="AC42" s="165">
        <v>0</v>
      </c>
      <c r="AD42" s="165">
        <v>4</v>
      </c>
      <c r="AE42" s="165">
        <v>0</v>
      </c>
      <c r="AF42" s="165">
        <v>0</v>
      </c>
      <c r="AG42" s="165">
        <v>30</v>
      </c>
      <c r="AH42" s="165"/>
      <c r="AI42" s="165">
        <v>35</v>
      </c>
      <c r="AJ42" s="78">
        <f>(SUM(AB42:AH42))-AI42</f>
        <v>-1</v>
      </c>
      <c r="AL42" s="52" t="s">
        <v>510</v>
      </c>
      <c r="AM42" s="165">
        <v>15</v>
      </c>
      <c r="AN42" s="165">
        <v>0</v>
      </c>
      <c r="AO42" s="165">
        <v>10</v>
      </c>
      <c r="AP42" s="165">
        <v>20</v>
      </c>
      <c r="AQ42" s="165">
        <v>0</v>
      </c>
      <c r="AR42" s="165">
        <v>15</v>
      </c>
      <c r="AS42" s="165">
        <v>10</v>
      </c>
      <c r="AT42" s="165">
        <v>65</v>
      </c>
      <c r="AU42" s="78">
        <f t="shared" si="4"/>
        <v>5</v>
      </c>
      <c r="AV42" s="78"/>
      <c r="AZ42" s="18"/>
      <c r="BA42" s="18"/>
      <c r="BB42" s="18"/>
      <c r="BC42" s="18"/>
      <c r="BD42" s="18"/>
    </row>
    <row r="43" spans="27:60" ht="13.9" customHeight="1">
      <c r="AB43" s="165">
        <v>10</v>
      </c>
      <c r="AC43" s="165">
        <v>4</v>
      </c>
      <c r="AD43" s="165">
        <v>10</v>
      </c>
      <c r="AE43" s="165">
        <v>0</v>
      </c>
      <c r="AF43" s="165">
        <v>0</v>
      </c>
      <c r="AG43" s="165">
        <v>65</v>
      </c>
      <c r="AH43" s="165"/>
      <c r="AI43" s="165">
        <v>100</v>
      </c>
      <c r="AJ43" s="78">
        <f>(SUM(AB43:AH43))-AI43</f>
        <v>-11</v>
      </c>
      <c r="AM43" s="165">
        <v>0</v>
      </c>
      <c r="AN43" s="165">
        <v>0</v>
      </c>
      <c r="AO43" s="165">
        <v>10</v>
      </c>
      <c r="AP43" s="165">
        <v>0</v>
      </c>
      <c r="AQ43" s="165">
        <v>0</v>
      </c>
      <c r="AR43" s="165">
        <v>30</v>
      </c>
      <c r="AS43" s="165">
        <v>0</v>
      </c>
      <c r="AT43" s="165">
        <v>35</v>
      </c>
      <c r="AU43" s="78">
        <f t="shared" si="4"/>
        <v>5</v>
      </c>
      <c r="AV43" s="78"/>
      <c r="AZ43" s="18"/>
      <c r="BA43" s="18"/>
      <c r="BB43" s="18"/>
      <c r="BC43" s="18"/>
      <c r="BD43" s="18"/>
    </row>
    <row r="44" spans="27:60" ht="13.9" customHeight="1">
      <c r="AB44" s="165"/>
      <c r="AC44" s="165"/>
      <c r="AD44" s="165"/>
      <c r="AE44" s="165"/>
      <c r="AF44" s="165"/>
      <c r="AG44" s="165"/>
      <c r="AH44" s="165"/>
      <c r="AI44" s="165"/>
      <c r="AJ44" s="78"/>
      <c r="AM44" s="165">
        <v>0</v>
      </c>
      <c r="AN44" s="165">
        <v>0</v>
      </c>
      <c r="AO44" s="165">
        <v>0</v>
      </c>
      <c r="AP44" s="165">
        <v>0</v>
      </c>
      <c r="AQ44" s="165">
        <v>0</v>
      </c>
      <c r="AR44" s="165">
        <v>0</v>
      </c>
      <c r="AS44" s="165">
        <v>0</v>
      </c>
      <c r="AT44" s="165">
        <v>0</v>
      </c>
      <c r="AU44" s="78">
        <f t="shared" si="4"/>
        <v>0</v>
      </c>
      <c r="AV44" s="78"/>
      <c r="AZ44" s="18"/>
      <c r="BA44" s="18"/>
      <c r="BB44" s="18"/>
      <c r="BC44" s="18"/>
      <c r="BD44" s="18"/>
    </row>
    <row r="45" spans="27:60" ht="13.9" customHeight="1">
      <c r="AA45" s="52" t="s">
        <v>536</v>
      </c>
      <c r="AB45" s="165">
        <v>0</v>
      </c>
      <c r="AC45" s="165">
        <v>0</v>
      </c>
      <c r="AD45" s="165">
        <v>10</v>
      </c>
      <c r="AE45" s="165">
        <v>0</v>
      </c>
      <c r="AF45" s="165">
        <v>4</v>
      </c>
      <c r="AG45" s="165">
        <v>4</v>
      </c>
      <c r="AH45" s="165"/>
      <c r="AI45" s="165">
        <v>25</v>
      </c>
      <c r="AJ45" s="78">
        <f>(SUM(AB45:AH45))-AI45</f>
        <v>-7</v>
      </c>
      <c r="AL45" s="52" t="s">
        <v>536</v>
      </c>
      <c r="AM45" s="165">
        <v>0</v>
      </c>
      <c r="AN45" s="165">
        <v>0</v>
      </c>
      <c r="AO45" s="165">
        <v>0</v>
      </c>
      <c r="AP45" s="165">
        <v>0</v>
      </c>
      <c r="AQ45" s="165">
        <v>0</v>
      </c>
      <c r="AR45" s="165">
        <v>15</v>
      </c>
      <c r="AS45" s="165">
        <v>4</v>
      </c>
      <c r="AT45" s="165">
        <v>20</v>
      </c>
      <c r="AU45" s="78">
        <f t="shared" si="4"/>
        <v>-1</v>
      </c>
      <c r="AV45" s="78"/>
      <c r="AZ45" s="18"/>
      <c r="BA45" s="18"/>
      <c r="BB45" s="18"/>
      <c r="BC45" s="18"/>
      <c r="BD45" s="18"/>
    </row>
    <row r="46" spans="27:60" ht="18" customHeight="1">
      <c r="AA46" s="52"/>
      <c r="AB46" s="165">
        <v>40</v>
      </c>
      <c r="AC46" s="165">
        <v>10</v>
      </c>
      <c r="AD46" s="165">
        <v>50</v>
      </c>
      <c r="AE46" s="165">
        <v>15</v>
      </c>
      <c r="AF46" s="165">
        <v>0</v>
      </c>
      <c r="AG46" s="165">
        <v>155</v>
      </c>
      <c r="AH46" s="165"/>
      <c r="AI46" s="165">
        <v>285</v>
      </c>
      <c r="AJ46" s="78">
        <f>(SUM(AB46:AH46))-AI46</f>
        <v>-15</v>
      </c>
      <c r="AM46" s="165">
        <v>0</v>
      </c>
      <c r="AN46" s="165">
        <v>4</v>
      </c>
      <c r="AO46" s="165">
        <v>0</v>
      </c>
      <c r="AP46" s="165">
        <v>0</v>
      </c>
      <c r="AQ46" s="165">
        <v>4</v>
      </c>
      <c r="AR46" s="165">
        <v>225</v>
      </c>
      <c r="AS46" s="165">
        <v>10</v>
      </c>
      <c r="AT46" s="165">
        <v>240</v>
      </c>
      <c r="AU46" s="78">
        <f t="shared" si="4"/>
        <v>3</v>
      </c>
      <c r="AV46" s="78"/>
      <c r="AZ46" s="18"/>
      <c r="BA46" s="18"/>
      <c r="BB46" s="18"/>
      <c r="BC46" s="18"/>
      <c r="BD46" s="18"/>
    </row>
    <row r="47" spans="27:60" ht="17.25" customHeight="1">
      <c r="AB47" s="165"/>
      <c r="AC47" s="165"/>
      <c r="AD47" s="165"/>
      <c r="AE47" s="165"/>
      <c r="AF47" s="165"/>
      <c r="AG47" s="165"/>
      <c r="AH47" s="165"/>
      <c r="AI47" s="165"/>
      <c r="AJ47" s="78">
        <f>(SUM(AB47:AH47))-AI47</f>
        <v>0</v>
      </c>
      <c r="AM47" s="165">
        <v>0</v>
      </c>
      <c r="AN47" s="165">
        <v>0</v>
      </c>
      <c r="AO47" s="165">
        <v>0</v>
      </c>
      <c r="AP47" s="165">
        <v>0</v>
      </c>
      <c r="AQ47" s="165">
        <v>0</v>
      </c>
      <c r="AR47" s="165">
        <v>0</v>
      </c>
      <c r="AS47" s="165">
        <v>0</v>
      </c>
      <c r="AT47" s="165">
        <v>0</v>
      </c>
      <c r="AU47" s="78">
        <f t="shared" si="4"/>
        <v>0</v>
      </c>
      <c r="AZ47" s="18"/>
      <c r="BA47" s="18"/>
      <c r="BB47" s="18"/>
      <c r="BC47" s="18"/>
      <c r="BD47" s="18"/>
    </row>
    <row r="48" spans="27:60" ht="13.9" customHeight="1">
      <c r="AA48" s="118" t="s">
        <v>559</v>
      </c>
      <c r="AB48" s="78">
        <f>SUM(AB33:AB47)</f>
        <v>69</v>
      </c>
      <c r="AC48" s="78">
        <f t="shared" ref="AC48:AH48" si="5">SUM(AC33:AC47)</f>
        <v>28</v>
      </c>
      <c r="AD48" s="78">
        <f t="shared" si="5"/>
        <v>114</v>
      </c>
      <c r="AE48" s="78">
        <f t="shared" si="5"/>
        <v>15</v>
      </c>
      <c r="AF48" s="78">
        <f t="shared" si="5"/>
        <v>23</v>
      </c>
      <c r="AG48" s="78">
        <f t="shared" si="5"/>
        <v>429</v>
      </c>
      <c r="AH48" s="78">
        <f t="shared" si="5"/>
        <v>0</v>
      </c>
      <c r="AI48" s="78">
        <f t="shared" ref="AI48" si="6">SUM(AI33:AI47)</f>
        <v>715</v>
      </c>
      <c r="AJ48" s="78"/>
      <c r="AZ48" s="18"/>
      <c r="BA48" s="18"/>
      <c r="BB48" s="18"/>
      <c r="BC48" s="18"/>
      <c r="BD48" s="18"/>
    </row>
    <row r="49" spans="2:56" ht="13.9" customHeight="1">
      <c r="AA49" s="162" t="s">
        <v>560</v>
      </c>
      <c r="AI49" s="218">
        <v>710</v>
      </c>
      <c r="AJ49" s="78">
        <f>SUM(AJ33:AJ46)</f>
        <v>-37</v>
      </c>
      <c r="AL49" s="162" t="s">
        <v>561</v>
      </c>
      <c r="AT49" s="165">
        <v>735</v>
      </c>
      <c r="AU49" s="78">
        <f>SUM(AU33:AU47)</f>
        <v>16</v>
      </c>
      <c r="AZ49" s="18"/>
      <c r="BA49" s="18"/>
      <c r="BB49" s="18"/>
      <c r="BC49" s="18"/>
      <c r="BD49" s="18"/>
    </row>
    <row r="50" spans="2:56" ht="13.9" customHeight="1">
      <c r="AS50" s="10" t="s">
        <v>562</v>
      </c>
      <c r="AT50" s="77" t="s">
        <v>149</v>
      </c>
      <c r="AZ50" s="18"/>
      <c r="BA50" s="18"/>
      <c r="BB50" s="18"/>
      <c r="BC50" s="18"/>
      <c r="BD50" s="18"/>
    </row>
    <row r="51" spans="2:56" ht="16.5" customHeight="1">
      <c r="AA51" s="52" t="s">
        <v>426</v>
      </c>
      <c r="AB51" s="78">
        <f>SUM(AB33:AB35)</f>
        <v>19</v>
      </c>
      <c r="AC51" s="78">
        <f t="shared" ref="AC51:AI51" si="7">SUM(AC33:AC35)</f>
        <v>0</v>
      </c>
      <c r="AD51" s="78">
        <f t="shared" si="7"/>
        <v>20</v>
      </c>
      <c r="AE51" s="78">
        <f t="shared" si="7"/>
        <v>0</v>
      </c>
      <c r="AF51" s="78">
        <f t="shared" si="7"/>
        <v>0</v>
      </c>
      <c r="AG51" s="78">
        <f t="shared" si="7"/>
        <v>45</v>
      </c>
      <c r="AH51" s="78">
        <f t="shared" si="7"/>
        <v>0</v>
      </c>
      <c r="AI51" s="78">
        <f t="shared" si="7"/>
        <v>90</v>
      </c>
      <c r="AL51" s="52" t="s">
        <v>563</v>
      </c>
      <c r="AM51" s="78">
        <f>SUM(AM33:AM35)</f>
        <v>20</v>
      </c>
      <c r="AN51" s="78">
        <f t="shared" ref="AN51:AT51" si="8">SUM(AN33:AN35)</f>
        <v>10</v>
      </c>
      <c r="AO51" s="78">
        <f t="shared" si="8"/>
        <v>14</v>
      </c>
      <c r="AP51" s="78">
        <f t="shared" si="8"/>
        <v>4</v>
      </c>
      <c r="AQ51" s="78">
        <f t="shared" si="8"/>
        <v>0</v>
      </c>
      <c r="AR51" s="78">
        <f t="shared" si="8"/>
        <v>70</v>
      </c>
      <c r="AS51" s="5">
        <f t="shared" si="8"/>
        <v>0</v>
      </c>
      <c r="AT51" s="78">
        <f t="shared" si="8"/>
        <v>119</v>
      </c>
      <c r="AZ51" s="18"/>
      <c r="BA51" s="18"/>
      <c r="BB51" s="18"/>
      <c r="BC51" s="18"/>
      <c r="BD51" s="18"/>
    </row>
    <row r="52" spans="2:56" ht="16.5" customHeight="1">
      <c r="AA52" s="52" t="s">
        <v>457</v>
      </c>
      <c r="AB52" s="78">
        <f>SUM(AB36:AB38)</f>
        <v>0</v>
      </c>
      <c r="AC52" s="78">
        <f t="shared" ref="AC52:AI52" si="9">SUM(AC36:AC38)</f>
        <v>10</v>
      </c>
      <c r="AD52" s="78">
        <f t="shared" si="9"/>
        <v>10</v>
      </c>
      <c r="AE52" s="78">
        <f t="shared" si="9"/>
        <v>0</v>
      </c>
      <c r="AF52" s="78">
        <f t="shared" si="9"/>
        <v>0</v>
      </c>
      <c r="AG52" s="78">
        <f t="shared" si="9"/>
        <v>80</v>
      </c>
      <c r="AH52" s="78">
        <f t="shared" si="9"/>
        <v>0</v>
      </c>
      <c r="AI52" s="78">
        <f t="shared" si="9"/>
        <v>95</v>
      </c>
      <c r="AL52" s="52" t="s">
        <v>457</v>
      </c>
      <c r="AM52" s="78">
        <f t="shared" ref="AM52:AR52" si="10">SUM(AM36:AM38)</f>
        <v>15</v>
      </c>
      <c r="AN52" s="78">
        <f t="shared" si="10"/>
        <v>0</v>
      </c>
      <c r="AO52" s="78">
        <f t="shared" si="10"/>
        <v>20</v>
      </c>
      <c r="AP52" s="78">
        <f t="shared" si="10"/>
        <v>0</v>
      </c>
      <c r="AQ52" s="78">
        <f t="shared" si="10"/>
        <v>0</v>
      </c>
      <c r="AR52" s="78">
        <f t="shared" si="10"/>
        <v>80</v>
      </c>
      <c r="AS52" s="5">
        <f>SUM(AS36:AS38)</f>
        <v>0</v>
      </c>
      <c r="AT52" s="78">
        <f>SUM(AT36:AT38)</f>
        <v>115</v>
      </c>
      <c r="AZ52" s="18"/>
      <c r="BA52" s="18"/>
      <c r="BB52" s="18"/>
      <c r="BC52" s="18"/>
      <c r="BD52" s="18"/>
    </row>
    <row r="53" spans="2:56" ht="16.5" customHeight="1">
      <c r="B53" s="336" t="s">
        <v>564</v>
      </c>
      <c r="C53" s="336"/>
      <c r="D53" s="336"/>
      <c r="E53" s="336"/>
      <c r="F53" s="336"/>
      <c r="G53" s="336"/>
      <c r="H53" s="336"/>
      <c r="I53" s="336"/>
      <c r="AA53" s="52" t="s">
        <v>485</v>
      </c>
      <c r="AB53" s="78">
        <f>SUM(AB39:AB41)</f>
        <v>0</v>
      </c>
      <c r="AC53" s="78">
        <f t="shared" ref="AC53:AI53" si="11">SUM(AC39:AC41)</f>
        <v>4</v>
      </c>
      <c r="AD53" s="78">
        <f t="shared" si="11"/>
        <v>10</v>
      </c>
      <c r="AE53" s="78">
        <f t="shared" si="11"/>
        <v>0</v>
      </c>
      <c r="AF53" s="78">
        <f t="shared" si="11"/>
        <v>19</v>
      </c>
      <c r="AG53" s="78">
        <f t="shared" si="11"/>
        <v>50</v>
      </c>
      <c r="AH53" s="78">
        <f t="shared" si="11"/>
        <v>0</v>
      </c>
      <c r="AI53" s="78">
        <f t="shared" si="11"/>
        <v>85</v>
      </c>
      <c r="AL53" s="52" t="s">
        <v>485</v>
      </c>
      <c r="AM53" s="78">
        <f t="shared" ref="AM53:AR53" si="12">SUM(AM39:AM41)</f>
        <v>0</v>
      </c>
      <c r="AN53" s="78">
        <f t="shared" si="12"/>
        <v>0</v>
      </c>
      <c r="AO53" s="78">
        <f t="shared" si="12"/>
        <v>10</v>
      </c>
      <c r="AP53" s="78">
        <f t="shared" si="12"/>
        <v>10</v>
      </c>
      <c r="AQ53" s="78">
        <f t="shared" si="12"/>
        <v>0</v>
      </c>
      <c r="AR53" s="78">
        <f t="shared" si="12"/>
        <v>120</v>
      </c>
      <c r="AS53" s="5">
        <f>SUM(AS39:AS41)</f>
        <v>0</v>
      </c>
      <c r="AT53" s="78">
        <f>SUM(AT39:AT41)</f>
        <v>135</v>
      </c>
      <c r="AZ53" s="18"/>
      <c r="BA53" s="18"/>
      <c r="BB53" s="18"/>
      <c r="BC53" s="18"/>
      <c r="BD53" s="18"/>
    </row>
    <row r="54" spans="2:56" ht="16.5" customHeight="1">
      <c r="AA54" s="52" t="s">
        <v>510</v>
      </c>
      <c r="AB54" s="78">
        <f>SUM(AB42:AB44)</f>
        <v>10</v>
      </c>
      <c r="AC54" s="78">
        <f t="shared" ref="AC54:AI54" si="13">SUM(AC42:AC44)</f>
        <v>4</v>
      </c>
      <c r="AD54" s="78">
        <f t="shared" si="13"/>
        <v>14</v>
      </c>
      <c r="AE54" s="78">
        <f t="shared" si="13"/>
        <v>0</v>
      </c>
      <c r="AF54" s="78">
        <f t="shared" si="13"/>
        <v>0</v>
      </c>
      <c r="AG54" s="78">
        <f t="shared" si="13"/>
        <v>95</v>
      </c>
      <c r="AH54" s="78">
        <f t="shared" si="13"/>
        <v>0</v>
      </c>
      <c r="AI54" s="78">
        <f t="shared" si="13"/>
        <v>135</v>
      </c>
      <c r="AL54" s="52" t="s">
        <v>510</v>
      </c>
      <c r="AM54" s="78">
        <f t="shared" ref="AM54:AR54" si="14">SUM(AM42:AM44)</f>
        <v>15</v>
      </c>
      <c r="AN54" s="78">
        <f t="shared" si="14"/>
        <v>0</v>
      </c>
      <c r="AO54" s="78">
        <f t="shared" si="14"/>
        <v>20</v>
      </c>
      <c r="AP54" s="78">
        <f t="shared" si="14"/>
        <v>20</v>
      </c>
      <c r="AQ54" s="78">
        <f t="shared" si="14"/>
        <v>0</v>
      </c>
      <c r="AR54" s="78">
        <f t="shared" si="14"/>
        <v>45</v>
      </c>
      <c r="AS54" s="5">
        <f>SUM(AS42:AS44)</f>
        <v>10</v>
      </c>
      <c r="AT54" s="78">
        <f>SUM(AT42:AT44)</f>
        <v>100</v>
      </c>
      <c r="AZ54" s="18"/>
      <c r="BA54" s="18"/>
      <c r="BB54" s="18"/>
      <c r="BC54" s="18"/>
      <c r="BD54" s="18"/>
    </row>
    <row r="55" spans="2:56" ht="16.5" customHeight="1">
      <c r="B55" s="333" t="str">
        <f>"Chart 13a. "&amp;City_label&amp;" number of households by income category and race, 2019"</f>
        <v>Chart 13a. Algona number of households by income category and race, 2019</v>
      </c>
      <c r="C55" s="333"/>
      <c r="D55" s="333"/>
      <c r="E55" s="333"/>
      <c r="F55" s="333"/>
      <c r="G55" s="333"/>
      <c r="H55" s="333"/>
      <c r="I55" s="333"/>
      <c r="U55" s="18"/>
      <c r="W55" s="19"/>
      <c r="X55" s="18"/>
      <c r="AA55" s="52" t="s">
        <v>536</v>
      </c>
      <c r="AB55" s="78">
        <f>SUM(AB45:AB47)</f>
        <v>40</v>
      </c>
      <c r="AC55" s="78">
        <f t="shared" ref="AC55:AI55" si="15">SUM(AC45:AC47)</f>
        <v>10</v>
      </c>
      <c r="AD55" s="78">
        <f t="shared" si="15"/>
        <v>60</v>
      </c>
      <c r="AE55" s="78">
        <f t="shared" si="15"/>
        <v>15</v>
      </c>
      <c r="AF55" s="78">
        <f t="shared" si="15"/>
        <v>4</v>
      </c>
      <c r="AG55" s="78">
        <f t="shared" si="15"/>
        <v>159</v>
      </c>
      <c r="AH55" s="78">
        <f t="shared" si="15"/>
        <v>0</v>
      </c>
      <c r="AI55" s="78">
        <f t="shared" si="15"/>
        <v>310</v>
      </c>
      <c r="AL55" s="52" t="s">
        <v>536</v>
      </c>
      <c r="AM55" s="78">
        <f t="shared" ref="AM55:AR55" si="16">SUM(AM45:AM47)</f>
        <v>0</v>
      </c>
      <c r="AN55" s="78">
        <f t="shared" si="16"/>
        <v>4</v>
      </c>
      <c r="AO55" s="78">
        <f t="shared" si="16"/>
        <v>0</v>
      </c>
      <c r="AP55" s="78">
        <f t="shared" si="16"/>
        <v>0</v>
      </c>
      <c r="AQ55" s="78">
        <f t="shared" si="16"/>
        <v>4</v>
      </c>
      <c r="AR55" s="78">
        <f t="shared" si="16"/>
        <v>240</v>
      </c>
      <c r="AS55" s="5">
        <f>SUM(AS45:AS47)</f>
        <v>14</v>
      </c>
      <c r="AT55" s="78">
        <f>SUM(AT45:AT47)</f>
        <v>260</v>
      </c>
      <c r="AZ55" s="18"/>
      <c r="BA55" s="18"/>
      <c r="BB55" s="18"/>
      <c r="BC55" s="18"/>
      <c r="BD55" s="18"/>
    </row>
    <row r="56" spans="2:56" ht="16.5" customHeight="1">
      <c r="B56" s="333"/>
      <c r="C56" s="333"/>
      <c r="D56" s="333"/>
      <c r="E56" s="333"/>
      <c r="F56" s="333"/>
      <c r="G56" s="333"/>
      <c r="H56" s="333"/>
      <c r="I56" s="333"/>
      <c r="U56" s="18"/>
      <c r="W56" s="19"/>
      <c r="X56" s="18"/>
      <c r="AA56" s="154" t="s">
        <v>565</v>
      </c>
      <c r="AB56" s="119">
        <f>SUM(AB51:AB55)</f>
        <v>69</v>
      </c>
      <c r="AC56" s="119">
        <f t="shared" ref="AC56:AI56" si="17">SUM(AC51:AC55)</f>
        <v>28</v>
      </c>
      <c r="AD56" s="119">
        <f t="shared" si="17"/>
        <v>114</v>
      </c>
      <c r="AE56" s="119">
        <f t="shared" si="17"/>
        <v>15</v>
      </c>
      <c r="AF56" s="119">
        <f t="shared" si="17"/>
        <v>23</v>
      </c>
      <c r="AG56" s="119">
        <f t="shared" si="17"/>
        <v>429</v>
      </c>
      <c r="AH56" s="119">
        <f t="shared" si="17"/>
        <v>0</v>
      </c>
      <c r="AI56" s="119">
        <f t="shared" si="17"/>
        <v>715</v>
      </c>
      <c r="AJ56" s="78"/>
      <c r="AL56" s="154" t="s">
        <v>565</v>
      </c>
      <c r="AM56" s="119">
        <f t="shared" ref="AM56:AT56" si="18">SUM(AM51:AM55)</f>
        <v>50</v>
      </c>
      <c r="AN56" s="119">
        <f t="shared" si="18"/>
        <v>14</v>
      </c>
      <c r="AO56" s="119">
        <f t="shared" si="18"/>
        <v>64</v>
      </c>
      <c r="AP56" s="119">
        <f t="shared" si="18"/>
        <v>34</v>
      </c>
      <c r="AQ56" s="119">
        <f t="shared" si="18"/>
        <v>4</v>
      </c>
      <c r="AR56" s="119">
        <f t="shared" si="18"/>
        <v>555</v>
      </c>
      <c r="AS56" s="237">
        <f>SUM(AS51:AS55)</f>
        <v>24</v>
      </c>
      <c r="AT56" s="119">
        <f t="shared" si="18"/>
        <v>729</v>
      </c>
      <c r="AU56" s="78">
        <f>(SUM(AM56:AS56))-AT56</f>
        <v>16</v>
      </c>
      <c r="AZ56" s="18"/>
      <c r="BA56" s="18"/>
      <c r="BB56" s="18"/>
      <c r="BC56" s="18"/>
      <c r="BD56" s="18"/>
    </row>
    <row r="57" spans="2:56" ht="13.9" customHeight="1">
      <c r="U57" s="18"/>
      <c r="W57" s="19"/>
      <c r="X57" s="18"/>
      <c r="AA57" s="191"/>
      <c r="AC57" s="20"/>
      <c r="AD57" s="20"/>
      <c r="AG57" s="20"/>
      <c r="AH57" s="155"/>
      <c r="AI57" s="20"/>
      <c r="AL57" s="160"/>
      <c r="AZ57" s="18"/>
      <c r="BA57" s="18"/>
      <c r="BB57" s="18"/>
      <c r="BC57" s="18"/>
      <c r="BD57" s="18"/>
    </row>
    <row r="58" spans="2:56" ht="13.9" customHeight="1">
      <c r="U58" s="18"/>
      <c r="W58" s="19"/>
      <c r="X58" s="18"/>
      <c r="AZ58" s="18"/>
      <c r="BA58" s="18"/>
      <c r="BB58" s="18"/>
      <c r="BC58" s="18"/>
      <c r="BD58" s="18"/>
    </row>
    <row r="59" spans="2:56" ht="13.9" customHeight="1">
      <c r="U59" s="18"/>
      <c r="W59" s="19"/>
      <c r="X59" s="18"/>
      <c r="AA59" s="153" t="s">
        <v>566</v>
      </c>
      <c r="AB59" s="153"/>
      <c r="AC59" s="153"/>
      <c r="AD59" s="153"/>
      <c r="AE59" s="153"/>
      <c r="AF59" s="153"/>
      <c r="AG59" s="153"/>
      <c r="AH59" s="153"/>
      <c r="AI59" s="153"/>
      <c r="AJ59" s="153"/>
      <c r="AL59" s="153" t="s">
        <v>566</v>
      </c>
      <c r="AM59" s="153"/>
      <c r="AN59" s="153"/>
      <c r="AO59" s="153"/>
      <c r="AP59" s="153"/>
      <c r="AQ59" s="153"/>
      <c r="AR59" s="153"/>
      <c r="AS59" s="153"/>
      <c r="AT59" s="153"/>
      <c r="AU59" s="153"/>
      <c r="AV59" s="153"/>
      <c r="AZ59" s="18"/>
      <c r="BA59" s="18"/>
      <c r="BB59" s="18"/>
      <c r="BC59" s="18"/>
      <c r="BD59" s="18"/>
    </row>
    <row r="60" spans="2:56" ht="13.9" customHeight="1">
      <c r="U60" s="18"/>
      <c r="W60" s="19"/>
      <c r="X60" s="18"/>
      <c r="AA60" s="160" t="s">
        <v>421</v>
      </c>
      <c r="AB60" s="161" t="s">
        <v>66</v>
      </c>
      <c r="AC60" s="161"/>
      <c r="AD60" s="161"/>
      <c r="AE60" s="161"/>
      <c r="AF60" s="161"/>
      <c r="AG60" s="162"/>
      <c r="AH60" s="162"/>
      <c r="AL60" s="160" t="s">
        <v>421</v>
      </c>
      <c r="AM60" s="161" t="s">
        <v>422</v>
      </c>
      <c r="AN60" s="161"/>
      <c r="AO60" s="161"/>
      <c r="AP60" s="161"/>
      <c r="AQ60" s="161"/>
      <c r="AR60" s="162"/>
      <c r="AS60" s="162"/>
      <c r="AV60" s="78"/>
      <c r="AZ60" s="18"/>
      <c r="BA60" s="18"/>
      <c r="BB60" s="18"/>
      <c r="BC60" s="18"/>
      <c r="BD60" s="18"/>
    </row>
    <row r="61" spans="2:56" ht="18.75" customHeight="1">
      <c r="U61" s="18"/>
      <c r="W61" s="19"/>
      <c r="X61" s="18"/>
      <c r="AB61" s="346" t="s">
        <v>157</v>
      </c>
      <c r="AC61" s="346" t="s">
        <v>139</v>
      </c>
      <c r="AD61" s="346" t="s">
        <v>145</v>
      </c>
      <c r="AE61" s="346" t="s">
        <v>187</v>
      </c>
      <c r="AF61" s="346" t="s">
        <v>186</v>
      </c>
      <c r="AG61" s="346" t="s">
        <v>136</v>
      </c>
      <c r="AH61" s="169"/>
      <c r="AI61" s="346" t="s">
        <v>189</v>
      </c>
      <c r="AM61" s="346" t="s">
        <v>157</v>
      </c>
      <c r="AN61" s="346" t="s">
        <v>139</v>
      </c>
      <c r="AO61" s="346" t="s">
        <v>145</v>
      </c>
      <c r="AP61" s="346" t="s">
        <v>187</v>
      </c>
      <c r="AQ61" s="346" t="s">
        <v>186</v>
      </c>
      <c r="AR61" s="346" t="s">
        <v>136</v>
      </c>
      <c r="AS61" s="346" t="s">
        <v>424</v>
      </c>
      <c r="AT61" s="346" t="s">
        <v>189</v>
      </c>
      <c r="AZ61" s="18"/>
      <c r="BA61" s="18"/>
      <c r="BB61" s="18"/>
      <c r="BC61" s="18"/>
      <c r="BD61" s="18"/>
    </row>
    <row r="62" spans="2:56" ht="18.75" customHeight="1">
      <c r="U62" s="18"/>
      <c r="W62" s="19"/>
      <c r="X62" s="18"/>
      <c r="AB62" s="346"/>
      <c r="AC62" s="346"/>
      <c r="AD62" s="346"/>
      <c r="AE62" s="346"/>
      <c r="AF62" s="346"/>
      <c r="AG62" s="346"/>
      <c r="AH62" s="169"/>
      <c r="AI62" s="346"/>
      <c r="AM62" s="346"/>
      <c r="AN62" s="346"/>
      <c r="AO62" s="346"/>
      <c r="AP62" s="346"/>
      <c r="AQ62" s="346"/>
      <c r="AR62" s="346"/>
      <c r="AS62" s="346"/>
      <c r="AT62" s="346"/>
      <c r="AZ62" s="18"/>
      <c r="BA62" s="18"/>
      <c r="BB62" s="18"/>
      <c r="BC62" s="18"/>
      <c r="BD62" s="18"/>
    </row>
    <row r="63" spans="2:56" ht="16.5" customHeight="1">
      <c r="U63" s="18"/>
      <c r="W63" s="19"/>
      <c r="X63" s="18"/>
      <c r="AA63" s="53" t="s">
        <v>423</v>
      </c>
      <c r="AB63" s="346"/>
      <c r="AC63" s="346"/>
      <c r="AD63" s="346"/>
      <c r="AE63" s="346"/>
      <c r="AF63" s="346"/>
      <c r="AG63" s="346"/>
      <c r="AH63" s="169"/>
      <c r="AI63" s="346"/>
      <c r="AL63" s="53" t="s">
        <v>423</v>
      </c>
      <c r="AM63" s="346"/>
      <c r="AN63" s="346"/>
      <c r="AO63" s="346"/>
      <c r="AP63" s="346"/>
      <c r="AQ63" s="346"/>
      <c r="AR63" s="346"/>
      <c r="AS63" s="346"/>
      <c r="AT63" s="346"/>
      <c r="AU63" s="79"/>
      <c r="AZ63" s="18"/>
      <c r="BA63" s="18"/>
      <c r="BB63" s="18"/>
      <c r="BC63" s="18"/>
      <c r="BD63" s="18"/>
    </row>
    <row r="64" spans="2:56" ht="16.5" customHeight="1">
      <c r="U64" s="18"/>
      <c r="W64" s="19"/>
      <c r="X64" s="18"/>
      <c r="AA64" s="52" t="s">
        <v>426</v>
      </c>
      <c r="AB64" s="164" t="s">
        <v>542</v>
      </c>
      <c r="AC64" s="164" t="s">
        <v>543</v>
      </c>
      <c r="AD64" s="164" t="s">
        <v>544</v>
      </c>
      <c r="AE64" s="164" t="s">
        <v>545</v>
      </c>
      <c r="AF64" s="164" t="s">
        <v>546</v>
      </c>
      <c r="AG64" s="164" t="s">
        <v>547</v>
      </c>
      <c r="AH64" s="7"/>
      <c r="AI64" s="164" t="s">
        <v>549</v>
      </c>
      <c r="AL64" s="52" t="s">
        <v>426</v>
      </c>
      <c r="AM64" s="103" t="s">
        <v>567</v>
      </c>
      <c r="AN64" s="103" t="s">
        <v>568</v>
      </c>
      <c r="AO64" s="103" t="s">
        <v>569</v>
      </c>
      <c r="AP64" s="103" t="s">
        <v>570</v>
      </c>
      <c r="AQ64" s="103" t="s">
        <v>571</v>
      </c>
      <c r="AR64" s="103" t="s">
        <v>572</v>
      </c>
      <c r="AS64" s="103" t="s">
        <v>573</v>
      </c>
      <c r="AT64" s="103" t="s">
        <v>574</v>
      </c>
      <c r="AU64" s="7"/>
      <c r="AZ64" s="18"/>
      <c r="BA64" s="18"/>
      <c r="BB64" s="18"/>
      <c r="BC64" s="18"/>
      <c r="BD64" s="18"/>
    </row>
    <row r="65" spans="2:56" ht="16.5" customHeight="1">
      <c r="U65" s="18"/>
      <c r="W65" s="19"/>
      <c r="X65" s="18"/>
      <c r="AB65" s="164" t="s">
        <v>555</v>
      </c>
      <c r="AC65" s="164" t="s">
        <v>530</v>
      </c>
      <c r="AD65" s="164" t="s">
        <v>527</v>
      </c>
      <c r="AE65" s="164" t="s">
        <v>557</v>
      </c>
      <c r="AF65" s="164" t="s">
        <v>533</v>
      </c>
      <c r="AG65" s="164" t="s">
        <v>531</v>
      </c>
      <c r="AH65" s="7"/>
      <c r="AI65" s="164" t="s">
        <v>529</v>
      </c>
      <c r="AM65" s="103" t="s">
        <v>575</v>
      </c>
      <c r="AN65" s="103" t="s">
        <v>576</v>
      </c>
      <c r="AO65" s="103" t="s">
        <v>577</v>
      </c>
      <c r="AP65" s="103" t="s">
        <v>578</v>
      </c>
      <c r="AQ65" s="103" t="s">
        <v>579</v>
      </c>
      <c r="AR65" s="103" t="s">
        <v>580</v>
      </c>
      <c r="AS65" s="103" t="s">
        <v>581</v>
      </c>
      <c r="AT65" s="103" t="s">
        <v>582</v>
      </c>
      <c r="AZ65" s="18"/>
      <c r="BA65" s="18"/>
      <c r="BB65" s="18"/>
      <c r="BC65" s="18"/>
      <c r="BD65" s="18"/>
    </row>
    <row r="66" spans="2:56" ht="16.5" customHeight="1">
      <c r="U66" s="18"/>
      <c r="W66" s="19"/>
      <c r="X66" s="18"/>
      <c r="AA66" s="52" t="s">
        <v>457</v>
      </c>
      <c r="AB66" s="164" t="s">
        <v>453</v>
      </c>
      <c r="AC66" s="164" t="s">
        <v>456</v>
      </c>
      <c r="AD66" s="164" t="s">
        <v>454</v>
      </c>
      <c r="AE66" s="164" t="s">
        <v>451</v>
      </c>
      <c r="AF66" s="164" t="s">
        <v>450</v>
      </c>
      <c r="AG66" s="164" t="s">
        <v>583</v>
      </c>
      <c r="AH66" s="7"/>
      <c r="AI66" s="164" t="s">
        <v>548</v>
      </c>
      <c r="AM66" s="103" t="s">
        <v>584</v>
      </c>
      <c r="AN66" s="103" t="s">
        <v>585</v>
      </c>
      <c r="AO66" s="103" t="s">
        <v>586</v>
      </c>
      <c r="AP66" s="103" t="s">
        <v>587</v>
      </c>
      <c r="AQ66" s="103" t="s">
        <v>588</v>
      </c>
      <c r="AR66" s="103" t="s">
        <v>589</v>
      </c>
      <c r="AS66" s="103" t="s">
        <v>590</v>
      </c>
      <c r="AT66" s="103" t="s">
        <v>591</v>
      </c>
      <c r="AZ66" s="18"/>
      <c r="BA66" s="18"/>
      <c r="BB66" s="18"/>
      <c r="BC66" s="18"/>
      <c r="BD66" s="18"/>
    </row>
    <row r="67" spans="2:56" ht="16.5" customHeight="1">
      <c r="U67" s="18"/>
      <c r="W67" s="19"/>
      <c r="X67" s="18"/>
      <c r="AB67" s="164" t="s">
        <v>592</v>
      </c>
      <c r="AC67" s="164" t="s">
        <v>554</v>
      </c>
      <c r="AD67" s="164" t="s">
        <v>553</v>
      </c>
      <c r="AE67" s="164" t="s">
        <v>556</v>
      </c>
      <c r="AF67" s="164" t="s">
        <v>550</v>
      </c>
      <c r="AG67" s="164" t="s">
        <v>552</v>
      </c>
      <c r="AH67" s="7"/>
      <c r="AI67" s="164" t="s">
        <v>551</v>
      </c>
      <c r="AL67" s="52" t="s">
        <v>457</v>
      </c>
      <c r="AM67" s="103" t="s">
        <v>593</v>
      </c>
      <c r="AN67" s="103" t="s">
        <v>594</v>
      </c>
      <c r="AO67" s="103" t="s">
        <v>595</v>
      </c>
      <c r="AP67" s="103" t="s">
        <v>596</v>
      </c>
      <c r="AQ67" s="103" t="s">
        <v>597</v>
      </c>
      <c r="AR67" s="103" t="s">
        <v>598</v>
      </c>
      <c r="AS67" s="103" t="s">
        <v>599</v>
      </c>
      <c r="AT67" s="103" t="s">
        <v>600</v>
      </c>
      <c r="AZ67" s="18"/>
      <c r="BA67" s="18"/>
      <c r="BB67" s="18"/>
      <c r="BC67" s="18"/>
      <c r="BD67" s="18"/>
    </row>
    <row r="68" spans="2:56" ht="16.5" customHeight="1">
      <c r="U68" s="18"/>
      <c r="W68" s="19"/>
      <c r="X68" s="18"/>
      <c r="AA68" s="52" t="s">
        <v>485</v>
      </c>
      <c r="AB68" s="164" t="s">
        <v>477</v>
      </c>
      <c r="AC68" s="164" t="s">
        <v>455</v>
      </c>
      <c r="AD68" s="164" t="s">
        <v>482</v>
      </c>
      <c r="AE68" s="164" t="s">
        <v>476</v>
      </c>
      <c r="AF68" s="164" t="s">
        <v>480</v>
      </c>
      <c r="AG68" s="164" t="s">
        <v>449</v>
      </c>
      <c r="AH68" s="7"/>
      <c r="AI68" s="164" t="s">
        <v>452</v>
      </c>
      <c r="AM68" s="103" t="s">
        <v>601</v>
      </c>
      <c r="AN68" s="103" t="s">
        <v>602</v>
      </c>
      <c r="AO68" s="103" t="s">
        <v>603</v>
      </c>
      <c r="AP68" s="103" t="s">
        <v>604</v>
      </c>
      <c r="AQ68" s="103" t="s">
        <v>605</v>
      </c>
      <c r="AR68" s="103" t="s">
        <v>606</v>
      </c>
      <c r="AS68" s="103" t="s">
        <v>607</v>
      </c>
      <c r="AT68" s="103" t="s">
        <v>608</v>
      </c>
      <c r="AZ68" s="18"/>
      <c r="BA68" s="18"/>
      <c r="BB68" s="18"/>
      <c r="BC68" s="18"/>
      <c r="BD68" s="18"/>
    </row>
    <row r="69" spans="2:56" ht="16.5" customHeight="1">
      <c r="U69" s="18"/>
      <c r="W69" s="19"/>
      <c r="X69" s="18"/>
      <c r="AB69" s="164" t="s">
        <v>570</v>
      </c>
      <c r="AC69" s="164" t="s">
        <v>572</v>
      </c>
      <c r="AD69" s="164" t="s">
        <v>568</v>
      </c>
      <c r="AE69" s="164" t="s">
        <v>571</v>
      </c>
      <c r="AF69" s="164" t="s">
        <v>569</v>
      </c>
      <c r="AG69" s="164" t="s">
        <v>574</v>
      </c>
      <c r="AH69" s="7"/>
      <c r="AI69" s="164" t="s">
        <v>609</v>
      </c>
      <c r="AM69" s="103" t="s">
        <v>610</v>
      </c>
      <c r="AN69" s="103" t="s">
        <v>611</v>
      </c>
      <c r="AO69" s="103" t="s">
        <v>612</v>
      </c>
      <c r="AP69" s="103" t="s">
        <v>613</v>
      </c>
      <c r="AQ69" s="103" t="s">
        <v>614</v>
      </c>
      <c r="AR69" s="103" t="s">
        <v>615</v>
      </c>
      <c r="AS69" s="103" t="s">
        <v>616</v>
      </c>
      <c r="AT69" s="103" t="s">
        <v>617</v>
      </c>
      <c r="AZ69" s="18"/>
      <c r="BA69" s="18"/>
      <c r="BB69" s="18"/>
      <c r="BC69" s="18"/>
      <c r="BD69" s="18"/>
    </row>
    <row r="70" spans="2:56" ht="16.5" customHeight="1">
      <c r="U70" s="18"/>
      <c r="W70" s="19"/>
      <c r="X70" s="18"/>
      <c r="AA70" s="52" t="s">
        <v>510</v>
      </c>
      <c r="AB70" s="164" t="s">
        <v>503</v>
      </c>
      <c r="AC70" s="164" t="s">
        <v>475</v>
      </c>
      <c r="AD70" s="164" t="s">
        <v>481</v>
      </c>
      <c r="AE70" s="164" t="s">
        <v>507</v>
      </c>
      <c r="AF70" s="164" t="s">
        <v>509</v>
      </c>
      <c r="AG70" s="164" t="s">
        <v>478</v>
      </c>
      <c r="AH70" s="7"/>
      <c r="AI70" s="164" t="s">
        <v>479</v>
      </c>
      <c r="AL70" s="52" t="s">
        <v>485</v>
      </c>
      <c r="AM70" s="103" t="s">
        <v>618</v>
      </c>
      <c r="AN70" s="103" t="s">
        <v>619</v>
      </c>
      <c r="AO70" s="103" t="s">
        <v>620</v>
      </c>
      <c r="AP70" s="103" t="s">
        <v>621</v>
      </c>
      <c r="AQ70" s="103" t="s">
        <v>622</v>
      </c>
      <c r="AR70" s="103" t="s">
        <v>623</v>
      </c>
      <c r="AS70" s="103" t="s">
        <v>624</v>
      </c>
      <c r="AT70" s="103" t="s">
        <v>625</v>
      </c>
      <c r="AZ70" s="18"/>
      <c r="BA70" s="18"/>
      <c r="BB70" s="18"/>
      <c r="BC70" s="18"/>
      <c r="BD70" s="18"/>
    </row>
    <row r="71" spans="2:56" ht="16.5" customHeight="1">
      <c r="U71" s="18"/>
      <c r="W71" s="19"/>
      <c r="X71" s="18"/>
      <c r="AB71" s="164" t="s">
        <v>597</v>
      </c>
      <c r="AC71" s="164" t="s">
        <v>600</v>
      </c>
      <c r="AD71" s="164" t="s">
        <v>598</v>
      </c>
      <c r="AE71" s="164" t="s">
        <v>595</v>
      </c>
      <c r="AF71" s="164" t="s">
        <v>594</v>
      </c>
      <c r="AG71" s="164" t="s">
        <v>626</v>
      </c>
      <c r="AH71" s="7"/>
      <c r="AI71" s="164" t="s">
        <v>567</v>
      </c>
      <c r="AM71" s="103" t="s">
        <v>627</v>
      </c>
      <c r="AN71" s="103" t="s">
        <v>628</v>
      </c>
      <c r="AO71" s="103" t="s">
        <v>629</v>
      </c>
      <c r="AP71" s="103" t="s">
        <v>630</v>
      </c>
      <c r="AQ71" s="103" t="s">
        <v>631</v>
      </c>
      <c r="AR71" s="103" t="s">
        <v>632</v>
      </c>
      <c r="AS71" s="103" t="s">
        <v>633</v>
      </c>
      <c r="AT71" s="103" t="s">
        <v>634</v>
      </c>
      <c r="AZ71" s="18"/>
      <c r="BA71" s="18"/>
      <c r="BB71" s="18"/>
      <c r="BC71" s="18"/>
      <c r="BD71" s="18"/>
    </row>
    <row r="72" spans="2:56" ht="16.5" customHeight="1">
      <c r="U72" s="18"/>
      <c r="W72" s="19"/>
      <c r="X72" s="18"/>
      <c r="AA72" s="52" t="s">
        <v>536</v>
      </c>
      <c r="AB72" s="164" t="s">
        <v>532</v>
      </c>
      <c r="AC72" s="164" t="s">
        <v>505</v>
      </c>
      <c r="AD72" s="164" t="s">
        <v>502</v>
      </c>
      <c r="AE72" s="164" t="s">
        <v>534</v>
      </c>
      <c r="AF72" s="164" t="s">
        <v>508</v>
      </c>
      <c r="AG72" s="164" t="s">
        <v>506</v>
      </c>
      <c r="AH72" s="7"/>
      <c r="AI72" s="164" t="s">
        <v>504</v>
      </c>
      <c r="AM72" s="103" t="s">
        <v>635</v>
      </c>
      <c r="AN72" s="103" t="s">
        <v>636</v>
      </c>
      <c r="AO72" s="103" t="s">
        <v>637</v>
      </c>
      <c r="AP72" s="103" t="s">
        <v>638</v>
      </c>
      <c r="AQ72" s="103" t="s">
        <v>639</v>
      </c>
      <c r="AR72" s="103" t="s">
        <v>640</v>
      </c>
      <c r="AS72" s="103" t="s">
        <v>641</v>
      </c>
      <c r="AT72" s="103" t="s">
        <v>642</v>
      </c>
      <c r="AZ72" s="18"/>
      <c r="BA72" s="18"/>
      <c r="BB72" s="18"/>
      <c r="BC72" s="18"/>
      <c r="BD72" s="18"/>
    </row>
    <row r="73" spans="2:56" ht="16.5" customHeight="1">
      <c r="U73" s="18"/>
      <c r="W73" s="19"/>
      <c r="X73" s="18"/>
      <c r="AB73" s="164" t="s">
        <v>620</v>
      </c>
      <c r="AC73" s="164" t="s">
        <v>573</v>
      </c>
      <c r="AD73" s="164" t="s">
        <v>625</v>
      </c>
      <c r="AE73" s="164" t="s">
        <v>619</v>
      </c>
      <c r="AF73" s="164" t="s">
        <v>623</v>
      </c>
      <c r="AG73" s="164" t="s">
        <v>593</v>
      </c>
      <c r="AH73" s="7"/>
      <c r="AI73" s="164" t="s">
        <v>596</v>
      </c>
      <c r="AL73" s="52" t="s">
        <v>510</v>
      </c>
      <c r="AM73" s="103" t="s">
        <v>643</v>
      </c>
      <c r="AN73" s="103" t="s">
        <v>644</v>
      </c>
      <c r="AO73" s="103" t="s">
        <v>645</v>
      </c>
      <c r="AP73" s="103" t="s">
        <v>646</v>
      </c>
      <c r="AQ73" s="103" t="s">
        <v>647</v>
      </c>
      <c r="AR73" s="103" t="s">
        <v>648</v>
      </c>
      <c r="AS73" s="103" t="s">
        <v>624</v>
      </c>
      <c r="AT73" s="103" t="s">
        <v>649</v>
      </c>
      <c r="AZ73" s="18"/>
      <c r="BA73" s="18"/>
      <c r="BB73" s="18"/>
      <c r="BC73" s="18"/>
      <c r="BD73" s="18"/>
    </row>
    <row r="74" spans="2:56" ht="12" customHeight="1">
      <c r="U74" s="18"/>
      <c r="W74" s="19"/>
      <c r="X74" s="18"/>
      <c r="AM74" s="103" t="s">
        <v>650</v>
      </c>
      <c r="AN74" s="103" t="s">
        <v>651</v>
      </c>
      <c r="AO74" s="103" t="s">
        <v>652</v>
      </c>
      <c r="AP74" s="103" t="s">
        <v>653</v>
      </c>
      <c r="AQ74" s="103" t="s">
        <v>654</v>
      </c>
      <c r="AR74" s="103" t="s">
        <v>655</v>
      </c>
      <c r="AS74" s="103" t="s">
        <v>633</v>
      </c>
      <c r="AT74" s="103" t="s">
        <v>656</v>
      </c>
      <c r="AZ74" s="18"/>
      <c r="BA74" s="18"/>
      <c r="BB74" s="18"/>
      <c r="BC74" s="18"/>
      <c r="BD74" s="18"/>
    </row>
    <row r="75" spans="2:56" ht="16.5" customHeight="1">
      <c r="H75" s="269"/>
      <c r="I75" s="269"/>
      <c r="U75" s="18"/>
      <c r="W75" s="19"/>
      <c r="X75" s="18"/>
      <c r="AJ75" s="77" t="s">
        <v>657</v>
      </c>
      <c r="AM75" s="103" t="s">
        <v>658</v>
      </c>
      <c r="AN75" s="103" t="s">
        <v>659</v>
      </c>
      <c r="AO75" s="103" t="s">
        <v>660</v>
      </c>
      <c r="AP75" s="103" t="s">
        <v>661</v>
      </c>
      <c r="AQ75" s="103" t="s">
        <v>662</v>
      </c>
      <c r="AR75" s="103" t="s">
        <v>663</v>
      </c>
      <c r="AS75" s="103" t="s">
        <v>641</v>
      </c>
      <c r="AT75" s="103" t="s">
        <v>664</v>
      </c>
      <c r="AZ75" s="18"/>
      <c r="BA75" s="18"/>
      <c r="BB75" s="18"/>
      <c r="BC75" s="18"/>
      <c r="BD75" s="18"/>
    </row>
    <row r="76" spans="2:56" ht="16.5" customHeight="1">
      <c r="B76" s="269" t="s">
        <v>564</v>
      </c>
      <c r="C76" s="269"/>
      <c r="D76" s="269"/>
      <c r="E76" s="269"/>
      <c r="F76" s="269"/>
      <c r="G76" s="269"/>
      <c r="H76" s="269"/>
      <c r="I76" s="269"/>
      <c r="U76" s="18"/>
      <c r="W76" s="19"/>
      <c r="X76" s="18"/>
      <c r="AA76" s="52" t="s">
        <v>426</v>
      </c>
      <c r="AB76" s="165">
        <v>0</v>
      </c>
      <c r="AC76" s="165">
        <v>0</v>
      </c>
      <c r="AD76" s="165">
        <v>4</v>
      </c>
      <c r="AE76" s="165">
        <v>0</v>
      </c>
      <c r="AF76" s="165">
        <v>0</v>
      </c>
      <c r="AG76" s="165">
        <v>10</v>
      </c>
      <c r="AH76" s="165"/>
      <c r="AI76" s="165">
        <v>10</v>
      </c>
      <c r="AJ76" s="78">
        <f t="shared" ref="AJ76:AJ85" si="19">(SUM(AB76:AG76))-AI76</f>
        <v>4</v>
      </c>
      <c r="AL76" s="52" t="s">
        <v>536</v>
      </c>
      <c r="AM76" s="103" t="s">
        <v>665</v>
      </c>
      <c r="AN76" s="103" t="s">
        <v>666</v>
      </c>
      <c r="AO76" s="103" t="s">
        <v>667</v>
      </c>
      <c r="AP76" s="103" t="s">
        <v>668</v>
      </c>
      <c r="AQ76" s="103" t="s">
        <v>669</v>
      </c>
      <c r="AR76" s="103" t="s">
        <v>670</v>
      </c>
      <c r="AS76" s="103" t="s">
        <v>671</v>
      </c>
      <c r="AT76" s="103" t="s">
        <v>672</v>
      </c>
      <c r="AZ76" s="18"/>
      <c r="BA76" s="18"/>
      <c r="BB76" s="18"/>
      <c r="BC76" s="18"/>
      <c r="BD76" s="18"/>
    </row>
    <row r="77" spans="2:56" ht="16.5" customHeight="1">
      <c r="U77" s="18"/>
      <c r="W77" s="19"/>
      <c r="X77" s="18"/>
      <c r="AB77" s="165">
        <v>0</v>
      </c>
      <c r="AC77" s="165">
        <v>0</v>
      </c>
      <c r="AD77" s="165">
        <v>0</v>
      </c>
      <c r="AE77" s="165">
        <v>0</v>
      </c>
      <c r="AF77" s="165">
        <v>0</v>
      </c>
      <c r="AG77" s="165">
        <v>4</v>
      </c>
      <c r="AH77" s="165"/>
      <c r="AI77" s="165">
        <v>4</v>
      </c>
      <c r="AJ77" s="78">
        <f t="shared" si="19"/>
        <v>0</v>
      </c>
      <c r="AM77" s="103" t="s">
        <v>673</v>
      </c>
      <c r="AN77" s="103" t="s">
        <v>674</v>
      </c>
      <c r="AO77" s="103" t="s">
        <v>675</v>
      </c>
      <c r="AP77" s="103" t="s">
        <v>676</v>
      </c>
      <c r="AQ77" s="103" t="s">
        <v>677</v>
      </c>
      <c r="AR77" s="103" t="s">
        <v>678</v>
      </c>
      <c r="AS77" s="103" t="s">
        <v>679</v>
      </c>
      <c r="AT77" s="103" t="s">
        <v>680</v>
      </c>
      <c r="AZ77" s="18"/>
      <c r="BA77" s="18"/>
      <c r="BB77" s="18"/>
      <c r="BC77" s="18"/>
      <c r="BD77" s="18"/>
    </row>
    <row r="78" spans="2:56" ht="16.5" customHeight="1">
      <c r="B78" s="333" t="str">
        <f>"Chart 14. "&amp;City_label&amp;" distribution of households by income and race or ethnicity, 2019"</f>
        <v>Chart 14. Algona distribution of households by income and race or ethnicity, 2019</v>
      </c>
      <c r="C78" s="333"/>
      <c r="D78" s="333"/>
      <c r="E78" s="333"/>
      <c r="F78" s="333"/>
      <c r="G78" s="333"/>
      <c r="H78" s="333"/>
      <c r="I78" s="333"/>
      <c r="J78" s="333"/>
      <c r="U78" s="18"/>
      <c r="W78" s="19"/>
      <c r="X78" s="18"/>
      <c r="AA78" s="52" t="s">
        <v>457</v>
      </c>
      <c r="AB78" s="165">
        <v>4</v>
      </c>
      <c r="AC78" s="165">
        <v>25</v>
      </c>
      <c r="AD78" s="165">
        <v>10</v>
      </c>
      <c r="AE78" s="165">
        <v>0</v>
      </c>
      <c r="AF78" s="165">
        <v>0</v>
      </c>
      <c r="AG78" s="165">
        <v>30</v>
      </c>
      <c r="AH78" s="165"/>
      <c r="AI78" s="165">
        <v>70</v>
      </c>
      <c r="AJ78" s="78">
        <f t="shared" si="19"/>
        <v>-1</v>
      </c>
      <c r="AM78" s="103" t="s">
        <v>681</v>
      </c>
      <c r="AN78" s="103" t="s">
        <v>682</v>
      </c>
      <c r="AO78" s="103" t="s">
        <v>683</v>
      </c>
      <c r="AP78" s="103" t="s">
        <v>684</v>
      </c>
      <c r="AQ78" s="103" t="s">
        <v>685</v>
      </c>
      <c r="AR78" s="103" t="s">
        <v>686</v>
      </c>
      <c r="AS78" s="103" t="s">
        <v>687</v>
      </c>
      <c r="AT78" s="103" t="s">
        <v>688</v>
      </c>
      <c r="AZ78" s="18"/>
      <c r="BA78" s="18"/>
      <c r="BB78" s="18"/>
      <c r="BC78" s="18"/>
      <c r="BD78" s="18"/>
    </row>
    <row r="79" spans="2:56" ht="16.5" customHeight="1">
      <c r="B79" s="333"/>
      <c r="C79" s="333"/>
      <c r="D79" s="333"/>
      <c r="E79" s="333"/>
      <c r="F79" s="333"/>
      <c r="G79" s="333"/>
      <c r="H79" s="333"/>
      <c r="I79" s="333"/>
      <c r="J79" s="333"/>
      <c r="U79" s="18"/>
      <c r="W79" s="19"/>
      <c r="X79" s="18"/>
      <c r="AB79" s="165">
        <v>0</v>
      </c>
      <c r="AC79" s="165">
        <v>0</v>
      </c>
      <c r="AD79" s="165">
        <v>4</v>
      </c>
      <c r="AE79" s="165">
        <v>0</v>
      </c>
      <c r="AF79" s="165">
        <v>0</v>
      </c>
      <c r="AG79" s="165">
        <v>0</v>
      </c>
      <c r="AH79" s="165"/>
      <c r="AI79" s="165">
        <v>4</v>
      </c>
      <c r="AJ79" s="78">
        <f t="shared" si="19"/>
        <v>0</v>
      </c>
      <c r="AZ79" s="18"/>
      <c r="BA79" s="18"/>
      <c r="BB79" s="18"/>
      <c r="BC79" s="18"/>
      <c r="BD79" s="18"/>
    </row>
    <row r="80" spans="2:56" ht="16.5" customHeight="1">
      <c r="U80" s="18"/>
      <c r="W80" s="19"/>
      <c r="X80" s="18"/>
      <c r="AA80" s="52" t="s">
        <v>485</v>
      </c>
      <c r="AB80" s="165">
        <v>15</v>
      </c>
      <c r="AC80" s="165">
        <v>0</v>
      </c>
      <c r="AD80" s="165">
        <v>0</v>
      </c>
      <c r="AE80" s="165">
        <v>0</v>
      </c>
      <c r="AF80" s="165">
        <v>0</v>
      </c>
      <c r="AG80" s="165">
        <v>4</v>
      </c>
      <c r="AH80" s="165"/>
      <c r="AI80" s="165">
        <v>20</v>
      </c>
      <c r="AJ80" s="78">
        <f t="shared" si="19"/>
        <v>-1</v>
      </c>
      <c r="AL80" s="52" t="s">
        <v>426</v>
      </c>
      <c r="AM80" s="165">
        <v>0</v>
      </c>
      <c r="AN80" s="165">
        <v>0</v>
      </c>
      <c r="AO80" s="165">
        <v>0</v>
      </c>
      <c r="AP80" s="165">
        <v>0</v>
      </c>
      <c r="AQ80" s="165">
        <v>0</v>
      </c>
      <c r="AR80" s="165">
        <v>15</v>
      </c>
      <c r="AS80" s="165">
        <v>0</v>
      </c>
      <c r="AT80" s="165">
        <v>15</v>
      </c>
      <c r="AU80" s="78">
        <f t="shared" ref="AU80:AU94" si="20">(SUM(AM80:AS80))-AT80</f>
        <v>0</v>
      </c>
      <c r="AV80" s="78"/>
      <c r="AZ80" s="18"/>
      <c r="BA80" s="18"/>
      <c r="BB80" s="18"/>
      <c r="BC80" s="18"/>
      <c r="BD80" s="18"/>
    </row>
    <row r="81" spans="21:56" ht="16.5" customHeight="1">
      <c r="U81" s="18"/>
      <c r="W81" s="19"/>
      <c r="X81" s="18"/>
      <c r="AB81" s="165">
        <v>10</v>
      </c>
      <c r="AC81" s="165">
        <v>0</v>
      </c>
      <c r="AD81" s="165">
        <v>0</v>
      </c>
      <c r="AE81" s="165">
        <v>0</v>
      </c>
      <c r="AF81" s="165">
        <v>0</v>
      </c>
      <c r="AG81" s="165">
        <v>30</v>
      </c>
      <c r="AH81" s="165"/>
      <c r="AI81" s="165">
        <v>40</v>
      </c>
      <c r="AJ81" s="78">
        <f t="shared" si="19"/>
        <v>0</v>
      </c>
      <c r="AM81" s="165">
        <v>0</v>
      </c>
      <c r="AN81" s="165">
        <v>0</v>
      </c>
      <c r="AO81" s="165">
        <v>0</v>
      </c>
      <c r="AP81" s="165">
        <v>0</v>
      </c>
      <c r="AQ81" s="165">
        <v>0</v>
      </c>
      <c r="AR81" s="165">
        <v>0</v>
      </c>
      <c r="AS81" s="165">
        <v>0</v>
      </c>
      <c r="AT81" s="165">
        <v>4</v>
      </c>
      <c r="AU81" s="78">
        <f t="shared" si="20"/>
        <v>-4</v>
      </c>
      <c r="AV81" s="78"/>
      <c r="AZ81" s="18"/>
      <c r="BA81" s="18"/>
      <c r="BB81" s="18"/>
      <c r="BC81" s="18"/>
      <c r="BD81" s="18"/>
    </row>
    <row r="82" spans="21:56" ht="16.5" customHeight="1">
      <c r="U82" s="18"/>
      <c r="W82" s="19"/>
      <c r="X82" s="18"/>
      <c r="AA82" s="52" t="s">
        <v>510</v>
      </c>
      <c r="AB82" s="165">
        <v>0</v>
      </c>
      <c r="AC82" s="165">
        <v>0</v>
      </c>
      <c r="AD82" s="165">
        <v>0</v>
      </c>
      <c r="AE82" s="165">
        <v>0</v>
      </c>
      <c r="AF82" s="165">
        <v>0</v>
      </c>
      <c r="AG82" s="165">
        <v>0</v>
      </c>
      <c r="AH82" s="165"/>
      <c r="AI82" s="165">
        <v>0</v>
      </c>
      <c r="AJ82" s="78">
        <f t="shared" si="19"/>
        <v>0</v>
      </c>
      <c r="AM82" s="165">
        <v>0</v>
      </c>
      <c r="AN82" s="165">
        <v>0</v>
      </c>
      <c r="AO82" s="165">
        <v>0</v>
      </c>
      <c r="AP82" s="165">
        <v>0</v>
      </c>
      <c r="AQ82" s="165">
        <v>0</v>
      </c>
      <c r="AR82" s="165">
        <v>0</v>
      </c>
      <c r="AS82" s="165">
        <v>0</v>
      </c>
      <c r="AT82" s="165">
        <v>0</v>
      </c>
      <c r="AU82" s="78">
        <f t="shared" si="20"/>
        <v>0</v>
      </c>
      <c r="AV82" s="78"/>
      <c r="AZ82" s="18"/>
      <c r="BA82" s="18"/>
      <c r="BB82" s="18"/>
      <c r="BC82" s="18"/>
      <c r="BD82" s="18"/>
    </row>
    <row r="83" spans="21:56" ht="16.5" customHeight="1">
      <c r="U83" s="18"/>
      <c r="W83" s="19"/>
      <c r="X83" s="18"/>
      <c r="AB83" s="165">
        <v>0</v>
      </c>
      <c r="AC83" s="165">
        <v>4</v>
      </c>
      <c r="AD83" s="165">
        <v>0</v>
      </c>
      <c r="AE83" s="165">
        <v>0</v>
      </c>
      <c r="AF83" s="165">
        <v>0</v>
      </c>
      <c r="AG83" s="165">
        <v>25</v>
      </c>
      <c r="AH83" s="165"/>
      <c r="AI83" s="165">
        <v>30</v>
      </c>
      <c r="AJ83" s="78">
        <f t="shared" si="19"/>
        <v>-1</v>
      </c>
      <c r="AL83" s="52" t="s">
        <v>457</v>
      </c>
      <c r="AM83" s="165">
        <v>40</v>
      </c>
      <c r="AN83" s="165">
        <v>0</v>
      </c>
      <c r="AO83" s="165">
        <v>0</v>
      </c>
      <c r="AP83" s="165">
        <v>0</v>
      </c>
      <c r="AQ83" s="165">
        <v>4</v>
      </c>
      <c r="AR83" s="165">
        <v>20</v>
      </c>
      <c r="AS83" s="165">
        <v>0</v>
      </c>
      <c r="AT83" s="165">
        <v>65</v>
      </c>
      <c r="AU83" s="78">
        <f t="shared" si="20"/>
        <v>-1</v>
      </c>
      <c r="AV83" s="78"/>
      <c r="AZ83" s="18"/>
      <c r="BA83" s="18"/>
      <c r="BB83" s="18"/>
      <c r="BC83" s="18"/>
      <c r="BD83" s="18"/>
    </row>
    <row r="84" spans="21:56" ht="16.5" customHeight="1">
      <c r="U84" s="18"/>
      <c r="W84" s="19"/>
      <c r="X84" s="18"/>
      <c r="AA84" s="52" t="s">
        <v>536</v>
      </c>
      <c r="AB84" s="165">
        <v>0</v>
      </c>
      <c r="AC84" s="165">
        <v>0</v>
      </c>
      <c r="AD84" s="165">
        <v>0</v>
      </c>
      <c r="AE84" s="165">
        <v>0</v>
      </c>
      <c r="AF84" s="165">
        <v>0</v>
      </c>
      <c r="AG84" s="165">
        <v>0</v>
      </c>
      <c r="AH84" s="165"/>
      <c r="AI84" s="165">
        <v>0</v>
      </c>
      <c r="AJ84" s="78">
        <f t="shared" si="19"/>
        <v>0</v>
      </c>
      <c r="AM84" s="165">
        <v>0</v>
      </c>
      <c r="AN84" s="165">
        <v>0</v>
      </c>
      <c r="AO84" s="165">
        <v>0</v>
      </c>
      <c r="AP84" s="165">
        <v>0</v>
      </c>
      <c r="AQ84" s="165">
        <v>0</v>
      </c>
      <c r="AR84" s="165">
        <v>10</v>
      </c>
      <c r="AS84" s="165">
        <v>0</v>
      </c>
      <c r="AT84" s="165">
        <v>10</v>
      </c>
      <c r="AU84" s="78">
        <f t="shared" si="20"/>
        <v>0</v>
      </c>
      <c r="AV84" s="78"/>
      <c r="AZ84" s="18"/>
      <c r="BA84" s="18"/>
      <c r="BB84" s="18"/>
      <c r="BC84" s="18"/>
      <c r="BD84" s="18"/>
    </row>
    <row r="85" spans="21:56" ht="11.25" customHeight="1">
      <c r="U85" s="18"/>
      <c r="W85" s="19"/>
      <c r="X85" s="18"/>
      <c r="AB85" s="165">
        <v>0</v>
      </c>
      <c r="AC85" s="165">
        <v>0</v>
      </c>
      <c r="AD85" s="165">
        <v>0</v>
      </c>
      <c r="AE85" s="165">
        <v>0</v>
      </c>
      <c r="AF85" s="165">
        <v>0</v>
      </c>
      <c r="AG85" s="165">
        <v>15</v>
      </c>
      <c r="AH85" s="165"/>
      <c r="AI85" s="165">
        <v>15</v>
      </c>
      <c r="AJ85" s="78">
        <f t="shared" si="19"/>
        <v>0</v>
      </c>
      <c r="AM85" s="165">
        <v>0</v>
      </c>
      <c r="AN85" s="165">
        <v>0</v>
      </c>
      <c r="AO85" s="165">
        <v>0</v>
      </c>
      <c r="AP85" s="165">
        <v>0</v>
      </c>
      <c r="AQ85" s="165">
        <v>0</v>
      </c>
      <c r="AR85" s="165">
        <v>0</v>
      </c>
      <c r="AS85" s="165">
        <v>0</v>
      </c>
      <c r="AT85" s="165">
        <v>0</v>
      </c>
      <c r="AU85" s="78">
        <f t="shared" si="20"/>
        <v>0</v>
      </c>
      <c r="AV85" s="78"/>
      <c r="AZ85" s="18"/>
      <c r="BA85" s="18"/>
      <c r="BB85" s="18"/>
      <c r="BC85" s="18"/>
      <c r="BD85" s="18"/>
    </row>
    <row r="86" spans="21:56" ht="15.75" customHeight="1">
      <c r="U86" s="18"/>
      <c r="W86" s="19"/>
      <c r="X86" s="18"/>
      <c r="AB86" s="78"/>
      <c r="AC86" s="78"/>
      <c r="AD86" s="78"/>
      <c r="AE86" s="78"/>
      <c r="AF86" s="78"/>
      <c r="AG86" s="78"/>
      <c r="AH86" s="78"/>
      <c r="AI86" s="78"/>
      <c r="AJ86" s="78"/>
      <c r="AL86" s="52" t="s">
        <v>485</v>
      </c>
      <c r="AM86" s="165">
        <v>0</v>
      </c>
      <c r="AN86" s="165">
        <v>0</v>
      </c>
      <c r="AO86" s="165">
        <v>0</v>
      </c>
      <c r="AP86" s="165">
        <v>0</v>
      </c>
      <c r="AQ86" s="165">
        <v>0</v>
      </c>
      <c r="AR86" s="165">
        <v>15</v>
      </c>
      <c r="AS86" s="165">
        <v>0</v>
      </c>
      <c r="AT86" s="165">
        <v>15</v>
      </c>
      <c r="AU86" s="78">
        <f t="shared" si="20"/>
        <v>0</v>
      </c>
      <c r="AV86" s="78"/>
      <c r="AZ86" s="18"/>
      <c r="BA86" s="18"/>
      <c r="BB86" s="18"/>
      <c r="BC86" s="18"/>
      <c r="BD86" s="18"/>
    </row>
    <row r="87" spans="21:56" ht="13.9" customHeight="1">
      <c r="U87" s="18"/>
      <c r="W87" s="19"/>
      <c r="X87" s="18"/>
      <c r="AA87" s="166" t="s">
        <v>689</v>
      </c>
      <c r="AB87" s="78"/>
      <c r="AC87" s="78"/>
      <c r="AD87" s="78"/>
      <c r="AE87" s="78"/>
      <c r="AF87" s="78"/>
      <c r="AG87" s="78"/>
      <c r="AH87" s="78"/>
      <c r="AI87" s="165">
        <v>195</v>
      </c>
      <c r="AJ87" s="78">
        <f>SUM(AJ76:AJ85)</f>
        <v>1</v>
      </c>
      <c r="AM87" s="165">
        <v>0</v>
      </c>
      <c r="AN87" s="165">
        <v>0</v>
      </c>
      <c r="AO87" s="165">
        <v>0</v>
      </c>
      <c r="AP87" s="165">
        <v>0</v>
      </c>
      <c r="AQ87" s="165">
        <v>4</v>
      </c>
      <c r="AR87" s="165">
        <v>10</v>
      </c>
      <c r="AS87" s="165">
        <v>0</v>
      </c>
      <c r="AT87" s="165">
        <v>15</v>
      </c>
      <c r="AU87" s="78">
        <f t="shared" si="20"/>
        <v>-1</v>
      </c>
      <c r="AV87" s="78"/>
      <c r="AZ87" s="18"/>
      <c r="BA87" s="18"/>
      <c r="BB87" s="18"/>
      <c r="BC87" s="18"/>
      <c r="BD87" s="18"/>
    </row>
    <row r="88" spans="21:56" ht="18" customHeight="1">
      <c r="U88" s="18"/>
      <c r="W88" s="19"/>
      <c r="X88" s="18"/>
      <c r="AM88" s="165">
        <v>0</v>
      </c>
      <c r="AN88" s="165">
        <v>0</v>
      </c>
      <c r="AO88" s="165">
        <v>0</v>
      </c>
      <c r="AP88" s="165">
        <v>0</v>
      </c>
      <c r="AQ88" s="165">
        <v>0</v>
      </c>
      <c r="AR88" s="165">
        <v>0</v>
      </c>
      <c r="AS88" s="165">
        <v>0</v>
      </c>
      <c r="AT88" s="165">
        <v>0</v>
      </c>
      <c r="AU88" s="78">
        <f t="shared" si="20"/>
        <v>0</v>
      </c>
      <c r="AV88" s="78"/>
      <c r="AZ88" s="18"/>
      <c r="BA88" s="18"/>
      <c r="BB88" s="18"/>
      <c r="BC88" s="18"/>
      <c r="BD88" s="18"/>
    </row>
    <row r="89" spans="21:56" ht="18" customHeight="1">
      <c r="AA89" s="52" t="s">
        <v>426</v>
      </c>
      <c r="AB89" s="78">
        <f t="shared" ref="AB89:AG89" si="21">SUM(AB76:AB77)</f>
        <v>0</v>
      </c>
      <c r="AC89" s="78">
        <f t="shared" si="21"/>
        <v>0</v>
      </c>
      <c r="AD89" s="78">
        <f t="shared" si="21"/>
        <v>4</v>
      </c>
      <c r="AE89" s="78">
        <f t="shared" si="21"/>
        <v>0</v>
      </c>
      <c r="AF89" s="78">
        <f t="shared" si="21"/>
        <v>0</v>
      </c>
      <c r="AG89" s="78">
        <f t="shared" si="21"/>
        <v>14</v>
      </c>
      <c r="AH89" s="78"/>
      <c r="AI89" s="78">
        <f>SUM(AI76:AI77)</f>
        <v>14</v>
      </c>
      <c r="AL89" s="52" t="s">
        <v>510</v>
      </c>
      <c r="AM89" s="165">
        <v>20</v>
      </c>
      <c r="AN89" s="165">
        <v>0</v>
      </c>
      <c r="AO89" s="165">
        <v>0</v>
      </c>
      <c r="AP89" s="165">
        <v>0</v>
      </c>
      <c r="AQ89" s="165">
        <v>0</v>
      </c>
      <c r="AR89" s="165">
        <v>0</v>
      </c>
      <c r="AS89" s="165">
        <v>0</v>
      </c>
      <c r="AT89" s="165">
        <v>20</v>
      </c>
      <c r="AU89" s="78">
        <f t="shared" si="20"/>
        <v>0</v>
      </c>
      <c r="AV89" s="78"/>
      <c r="AZ89" s="18"/>
      <c r="BA89" s="18"/>
      <c r="BB89" s="18"/>
      <c r="BC89" s="18"/>
      <c r="BD89" s="18"/>
    </row>
    <row r="90" spans="21:56" ht="18" customHeight="1">
      <c r="AA90" s="52" t="s">
        <v>457</v>
      </c>
      <c r="AB90" s="78">
        <f t="shared" ref="AB90:AG90" si="22">SUM(AB78:AB79)</f>
        <v>4</v>
      </c>
      <c r="AC90" s="78">
        <f t="shared" si="22"/>
        <v>25</v>
      </c>
      <c r="AD90" s="78">
        <f t="shared" si="22"/>
        <v>14</v>
      </c>
      <c r="AE90" s="78">
        <f t="shared" si="22"/>
        <v>0</v>
      </c>
      <c r="AF90" s="78">
        <f t="shared" si="22"/>
        <v>0</v>
      </c>
      <c r="AG90" s="78">
        <f t="shared" si="22"/>
        <v>30</v>
      </c>
      <c r="AH90" s="78"/>
      <c r="AI90" s="78">
        <f>SUM(AI78:AI79)</f>
        <v>74</v>
      </c>
      <c r="AM90" s="165">
        <v>0</v>
      </c>
      <c r="AN90" s="165">
        <v>0</v>
      </c>
      <c r="AO90" s="165">
        <v>0</v>
      </c>
      <c r="AP90" s="165">
        <v>0</v>
      </c>
      <c r="AQ90" s="165">
        <v>0</v>
      </c>
      <c r="AR90" s="165">
        <v>20</v>
      </c>
      <c r="AS90" s="165">
        <v>0</v>
      </c>
      <c r="AT90" s="165">
        <v>20</v>
      </c>
      <c r="AU90" s="78">
        <f t="shared" si="20"/>
        <v>0</v>
      </c>
      <c r="AV90" s="78"/>
      <c r="AZ90" s="18"/>
      <c r="BA90" s="18"/>
      <c r="BB90" s="18"/>
      <c r="BC90" s="18"/>
      <c r="BD90" s="18"/>
    </row>
    <row r="91" spans="21:56" ht="18" customHeight="1">
      <c r="AA91" s="52" t="s">
        <v>485</v>
      </c>
      <c r="AB91" s="78">
        <f t="shared" ref="AB91:AG91" si="23">SUM(AB80:AB81)</f>
        <v>25</v>
      </c>
      <c r="AC91" s="78">
        <f t="shared" si="23"/>
        <v>0</v>
      </c>
      <c r="AD91" s="78">
        <f t="shared" si="23"/>
        <v>0</v>
      </c>
      <c r="AE91" s="78">
        <f t="shared" si="23"/>
        <v>0</v>
      </c>
      <c r="AF91" s="78">
        <f t="shared" si="23"/>
        <v>0</v>
      </c>
      <c r="AG91" s="78">
        <f t="shared" si="23"/>
        <v>34</v>
      </c>
      <c r="AH91" s="78"/>
      <c r="AI91" s="78">
        <f>SUM(AI80:AI81)</f>
        <v>60</v>
      </c>
      <c r="AM91" s="165">
        <v>0</v>
      </c>
      <c r="AN91" s="165">
        <v>0</v>
      </c>
      <c r="AO91" s="165">
        <v>0</v>
      </c>
      <c r="AP91" s="165">
        <v>0</v>
      </c>
      <c r="AQ91" s="165">
        <v>0</v>
      </c>
      <c r="AR91" s="165">
        <v>0</v>
      </c>
      <c r="AS91" s="165">
        <v>0</v>
      </c>
      <c r="AT91" s="165">
        <v>0</v>
      </c>
      <c r="AU91" s="78">
        <f t="shared" si="20"/>
        <v>0</v>
      </c>
      <c r="AV91" s="78"/>
      <c r="AZ91" s="18"/>
      <c r="BA91" s="18"/>
      <c r="BB91" s="18"/>
      <c r="BC91" s="18"/>
      <c r="BD91" s="18"/>
    </row>
    <row r="92" spans="21:56" ht="18" customHeight="1">
      <c r="AA92" s="52" t="s">
        <v>510</v>
      </c>
      <c r="AB92" s="78">
        <f t="shared" ref="AB92:AG92" si="24">SUM(AB82:AB83)</f>
        <v>0</v>
      </c>
      <c r="AC92" s="78">
        <f t="shared" si="24"/>
        <v>4</v>
      </c>
      <c r="AD92" s="78">
        <f t="shared" si="24"/>
        <v>0</v>
      </c>
      <c r="AE92" s="78">
        <f t="shared" si="24"/>
        <v>0</v>
      </c>
      <c r="AF92" s="78">
        <f t="shared" si="24"/>
        <v>0</v>
      </c>
      <c r="AG92" s="78">
        <f t="shared" si="24"/>
        <v>25</v>
      </c>
      <c r="AH92" s="78"/>
      <c r="AI92" s="78">
        <f>SUM(AI82:AI83)</f>
        <v>30</v>
      </c>
      <c r="AL92" s="52" t="s">
        <v>536</v>
      </c>
      <c r="AM92" s="165">
        <v>0</v>
      </c>
      <c r="AN92" s="165">
        <v>0</v>
      </c>
      <c r="AO92" s="165">
        <v>0</v>
      </c>
      <c r="AP92" s="165">
        <v>0</v>
      </c>
      <c r="AQ92" s="165">
        <v>0</v>
      </c>
      <c r="AR92" s="165">
        <v>0</v>
      </c>
      <c r="AS92" s="165">
        <v>0</v>
      </c>
      <c r="AT92" s="165">
        <v>0</v>
      </c>
      <c r="AU92" s="78">
        <f t="shared" si="20"/>
        <v>0</v>
      </c>
      <c r="AV92" s="78"/>
      <c r="AZ92" s="18"/>
      <c r="BA92" s="18"/>
      <c r="BB92" s="18"/>
      <c r="BC92" s="18"/>
      <c r="BD92" s="18"/>
    </row>
    <row r="93" spans="21:56" ht="18" customHeight="1">
      <c r="AA93" s="52" t="s">
        <v>536</v>
      </c>
      <c r="AB93" s="78">
        <f t="shared" ref="AB93:AG93" si="25">SUM(AB84:AB85)</f>
        <v>0</v>
      </c>
      <c r="AC93" s="78">
        <f t="shared" si="25"/>
        <v>0</v>
      </c>
      <c r="AD93" s="78">
        <f t="shared" si="25"/>
        <v>0</v>
      </c>
      <c r="AE93" s="78">
        <f t="shared" si="25"/>
        <v>0</v>
      </c>
      <c r="AF93" s="78">
        <f t="shared" si="25"/>
        <v>0</v>
      </c>
      <c r="AG93" s="78">
        <f t="shared" si="25"/>
        <v>15</v>
      </c>
      <c r="AH93" s="78"/>
      <c r="AI93" s="78">
        <f>SUM(AI84:AI85)</f>
        <v>15</v>
      </c>
      <c r="AM93" s="165">
        <v>10</v>
      </c>
      <c r="AN93" s="165">
        <v>0</v>
      </c>
      <c r="AO93" s="165">
        <v>0</v>
      </c>
      <c r="AP93" s="165">
        <v>0</v>
      </c>
      <c r="AQ93" s="165">
        <v>4</v>
      </c>
      <c r="AR93" s="165">
        <v>30</v>
      </c>
      <c r="AS93" s="165">
        <v>0</v>
      </c>
      <c r="AT93" s="165">
        <v>45</v>
      </c>
      <c r="AU93" s="78">
        <f t="shared" si="20"/>
        <v>-1</v>
      </c>
      <c r="AV93" s="78"/>
      <c r="AZ93" s="18"/>
      <c r="BA93" s="18"/>
      <c r="BB93" s="18"/>
      <c r="BC93" s="18"/>
      <c r="BD93" s="18"/>
    </row>
    <row r="94" spans="21:56" ht="18" customHeight="1">
      <c r="AA94" s="154" t="s">
        <v>565</v>
      </c>
      <c r="AB94" s="119">
        <f t="shared" ref="AB94:AG94" si="26">SUM(AB89:AB93)</f>
        <v>29</v>
      </c>
      <c r="AC94" s="119">
        <f t="shared" si="26"/>
        <v>29</v>
      </c>
      <c r="AD94" s="119">
        <f t="shared" si="26"/>
        <v>18</v>
      </c>
      <c r="AE94" s="119">
        <f t="shared" si="26"/>
        <v>0</v>
      </c>
      <c r="AF94" s="119">
        <f t="shared" si="26"/>
        <v>0</v>
      </c>
      <c r="AG94" s="119">
        <f t="shared" si="26"/>
        <v>118</v>
      </c>
      <c r="AH94" s="119"/>
      <c r="AI94" s="119">
        <f>SUM(AI89:AI93)</f>
        <v>193</v>
      </c>
      <c r="AJ94" s="78">
        <f>(SUM(AB94:AG94))-AI94</f>
        <v>1</v>
      </c>
      <c r="AM94" s="165">
        <v>0</v>
      </c>
      <c r="AN94" s="165">
        <v>0</v>
      </c>
      <c r="AO94" s="165">
        <v>0</v>
      </c>
      <c r="AP94" s="165">
        <v>0</v>
      </c>
      <c r="AQ94" s="165">
        <v>0</v>
      </c>
      <c r="AR94" s="165">
        <v>0</v>
      </c>
      <c r="AS94" s="165">
        <v>0</v>
      </c>
      <c r="AT94" s="165">
        <v>0</v>
      </c>
      <c r="AU94" s="78">
        <f t="shared" si="20"/>
        <v>0</v>
      </c>
      <c r="AZ94" s="18"/>
      <c r="BA94" s="18"/>
      <c r="BB94" s="18"/>
      <c r="BC94" s="18"/>
      <c r="BD94" s="18"/>
    </row>
    <row r="95" spans="21:56" ht="18" customHeight="1">
      <c r="AA95" s="162"/>
      <c r="AM95" s="7"/>
      <c r="AN95" s="7"/>
      <c r="AO95" s="7"/>
      <c r="AP95" s="7"/>
      <c r="AQ95" s="7"/>
      <c r="AR95" s="7"/>
      <c r="AS95" s="7"/>
      <c r="AT95" s="7"/>
      <c r="AU95" s="78"/>
      <c r="AZ95" s="18"/>
      <c r="BA95" s="18"/>
      <c r="BB95" s="18"/>
      <c r="BC95" s="18"/>
      <c r="BD95" s="18"/>
    </row>
    <row r="96" spans="21:56" ht="18" customHeight="1">
      <c r="AA96" s="160"/>
      <c r="AL96" s="167" t="s">
        <v>690</v>
      </c>
      <c r="AM96" s="7"/>
      <c r="AN96" s="7"/>
      <c r="AO96" s="7"/>
      <c r="AP96" s="7"/>
      <c r="AQ96" s="7"/>
      <c r="AR96" s="7"/>
      <c r="AS96" s="7"/>
      <c r="AT96" s="165">
        <v>205</v>
      </c>
      <c r="AU96" s="78">
        <f>SUM(AU80:AU94)</f>
        <v>-7</v>
      </c>
      <c r="AZ96" s="18"/>
      <c r="BA96" s="18"/>
      <c r="BB96" s="18"/>
      <c r="BC96" s="18"/>
      <c r="BD96" s="18"/>
    </row>
    <row r="97" spans="2:56" ht="18" customHeight="1">
      <c r="B97" s="271" t="s">
        <v>564</v>
      </c>
      <c r="AS97" s="10" t="s">
        <v>562</v>
      </c>
      <c r="AZ97" s="18"/>
      <c r="BA97" s="18"/>
      <c r="BB97" s="18"/>
      <c r="BC97" s="18"/>
      <c r="BD97" s="18"/>
    </row>
    <row r="98" spans="2:56" ht="18" customHeight="1">
      <c r="C98" s="271"/>
      <c r="D98" s="271"/>
      <c r="E98" s="271"/>
      <c r="F98" s="271"/>
      <c r="G98" s="271"/>
      <c r="H98" s="271"/>
      <c r="I98" s="271"/>
      <c r="AA98" s="7"/>
      <c r="AB98" s="7"/>
      <c r="AC98" s="7"/>
      <c r="AD98" s="7"/>
      <c r="AE98" s="7"/>
      <c r="AF98" s="7"/>
      <c r="AG98" s="7"/>
      <c r="AH98" s="7"/>
      <c r="AI98" s="7"/>
      <c r="AJ98" s="7"/>
      <c r="AL98" s="52" t="s">
        <v>426</v>
      </c>
      <c r="AM98" s="78">
        <f t="shared" ref="AM98:AR98" si="27">SUM(AM80:AM82)</f>
        <v>0</v>
      </c>
      <c r="AN98" s="78">
        <f t="shared" si="27"/>
        <v>0</v>
      </c>
      <c r="AO98" s="78">
        <f t="shared" si="27"/>
        <v>0</v>
      </c>
      <c r="AP98" s="78">
        <f t="shared" si="27"/>
        <v>0</v>
      </c>
      <c r="AQ98" s="78">
        <f t="shared" si="27"/>
        <v>0</v>
      </c>
      <c r="AR98" s="78">
        <f t="shared" si="27"/>
        <v>15</v>
      </c>
      <c r="AS98" s="78">
        <f>AT98-SUM(AM98:AR98)</f>
        <v>4</v>
      </c>
      <c r="AT98" s="78">
        <f>SUM(AT80:AT82)</f>
        <v>19</v>
      </c>
      <c r="AZ98" s="18"/>
      <c r="BA98" s="18"/>
      <c r="BB98" s="18"/>
      <c r="BC98" s="18"/>
      <c r="BD98" s="18"/>
    </row>
    <row r="99" spans="2:56" ht="18" customHeight="1">
      <c r="B99" s="271"/>
      <c r="C99" s="271"/>
      <c r="D99" s="271"/>
      <c r="E99" s="271"/>
      <c r="F99" s="271"/>
      <c r="G99" s="271"/>
      <c r="H99" s="271"/>
      <c r="I99" s="271"/>
      <c r="AA99" s="153" t="s">
        <v>160</v>
      </c>
      <c r="AB99" s="153"/>
      <c r="AC99" s="153"/>
      <c r="AD99" s="153"/>
      <c r="AE99" s="153"/>
      <c r="AF99" s="153"/>
      <c r="AG99" s="153"/>
      <c r="AH99" s="153"/>
      <c r="AI99" s="153"/>
      <c r="AJ99" s="153"/>
      <c r="AL99" s="52" t="s">
        <v>457</v>
      </c>
      <c r="AM99" s="78">
        <f t="shared" ref="AM99:AR99" si="28">SUM(AM83:AM85)</f>
        <v>40</v>
      </c>
      <c r="AN99" s="78">
        <f t="shared" si="28"/>
        <v>0</v>
      </c>
      <c r="AO99" s="78">
        <f t="shared" si="28"/>
        <v>0</v>
      </c>
      <c r="AP99" s="78">
        <f t="shared" si="28"/>
        <v>0</v>
      </c>
      <c r="AQ99" s="78">
        <f t="shared" si="28"/>
        <v>4</v>
      </c>
      <c r="AR99" s="78">
        <f t="shared" si="28"/>
        <v>30</v>
      </c>
      <c r="AS99" s="78">
        <f t="shared" ref="AS99:AS102" si="29">AT99-SUM(AM99:AR99)</f>
        <v>1</v>
      </c>
      <c r="AT99" s="78">
        <f>SUM(AT83:AT85)</f>
        <v>75</v>
      </c>
      <c r="AZ99" s="18"/>
      <c r="BA99" s="18"/>
      <c r="BB99" s="18"/>
      <c r="BC99" s="18"/>
      <c r="BD99" s="18"/>
    </row>
    <row r="100" spans="2:56" ht="18" customHeight="1">
      <c r="B100" s="333" t="str">
        <f>"Chart 14a. "&amp;City_label&amp;" distribution of households by income and race or ethnicity, 2019"</f>
        <v>Chart 14a. Algona distribution of households by income and race or ethnicity, 2019</v>
      </c>
      <c r="C100" s="333"/>
      <c r="D100" s="333"/>
      <c r="E100" s="333"/>
      <c r="F100" s="333"/>
      <c r="G100" s="333"/>
      <c r="H100" s="333"/>
      <c r="I100" s="333"/>
      <c r="J100" s="333"/>
      <c r="AA100" s="7"/>
      <c r="AB100" s="7" t="s">
        <v>186</v>
      </c>
      <c r="AC100" s="7" t="s">
        <v>145</v>
      </c>
      <c r="AD100" s="7" t="s">
        <v>139</v>
      </c>
      <c r="AE100" s="7" t="s">
        <v>157</v>
      </c>
      <c r="AF100" s="7" t="s">
        <v>187</v>
      </c>
      <c r="AG100" s="7" t="s">
        <v>136</v>
      </c>
      <c r="AH100" s="105" t="s">
        <v>484</v>
      </c>
      <c r="AI100" s="7"/>
      <c r="AJ100" s="7"/>
      <c r="AL100" s="52" t="s">
        <v>485</v>
      </c>
      <c r="AM100" s="78">
        <f t="shared" ref="AM100:AR100" si="30">SUM(AM86:AM88)</f>
        <v>0</v>
      </c>
      <c r="AN100" s="78">
        <f t="shared" si="30"/>
        <v>0</v>
      </c>
      <c r="AO100" s="78">
        <f t="shared" si="30"/>
        <v>0</v>
      </c>
      <c r="AP100" s="78">
        <f t="shared" si="30"/>
        <v>0</v>
      </c>
      <c r="AQ100" s="78">
        <f t="shared" si="30"/>
        <v>4</v>
      </c>
      <c r="AR100" s="78">
        <f t="shared" si="30"/>
        <v>25</v>
      </c>
      <c r="AS100" s="78">
        <f t="shared" si="29"/>
        <v>1</v>
      </c>
      <c r="AT100" s="78">
        <f>SUM(AT86:AT88)</f>
        <v>30</v>
      </c>
      <c r="AZ100" s="18"/>
      <c r="BA100" s="18"/>
      <c r="BB100" s="18"/>
      <c r="BC100" s="18"/>
      <c r="BD100" s="18"/>
    </row>
    <row r="101" spans="2:56" ht="18" customHeight="1">
      <c r="B101" s="333"/>
      <c r="C101" s="333"/>
      <c r="D101" s="333"/>
      <c r="E101" s="333"/>
      <c r="F101" s="333"/>
      <c r="G101" s="333"/>
      <c r="H101" s="333"/>
      <c r="I101" s="333"/>
      <c r="J101" s="333"/>
      <c r="AA101" s="52" t="s">
        <v>426</v>
      </c>
      <c r="AB101" s="138">
        <f>SUM(AF51,AF89)</f>
        <v>0</v>
      </c>
      <c r="AC101" s="138">
        <f>SUM(AD51,AD89)</f>
        <v>24</v>
      </c>
      <c r="AD101" s="138">
        <f>SUM(AC51,AC89)</f>
        <v>0</v>
      </c>
      <c r="AE101" s="138">
        <f>SUM(AB51,AB89)</f>
        <v>19</v>
      </c>
      <c r="AF101" s="138">
        <f>SUM(AE51,AE89)</f>
        <v>0</v>
      </c>
      <c r="AG101" s="138">
        <f>SUM(AG51,AG89)</f>
        <v>59</v>
      </c>
      <c r="AH101" s="235">
        <f t="shared" ref="AH101:AH105" si="31">AI101-SUM(AB101:AG101)</f>
        <v>2</v>
      </c>
      <c r="AI101" s="138">
        <f t="shared" ref="AI101:AI106" si="32">SUM(AI51,AI89)</f>
        <v>104</v>
      </c>
      <c r="AJ101" s="78"/>
      <c r="AL101" s="52" t="s">
        <v>510</v>
      </c>
      <c r="AM101" s="78">
        <f t="shared" ref="AM101:AR101" si="33">SUM(AM89:AM91)</f>
        <v>20</v>
      </c>
      <c r="AN101" s="78">
        <f t="shared" si="33"/>
        <v>0</v>
      </c>
      <c r="AO101" s="78">
        <f t="shared" si="33"/>
        <v>0</v>
      </c>
      <c r="AP101" s="78">
        <f t="shared" si="33"/>
        <v>0</v>
      </c>
      <c r="AQ101" s="78">
        <f t="shared" si="33"/>
        <v>0</v>
      </c>
      <c r="AR101" s="78">
        <f t="shared" si="33"/>
        <v>20</v>
      </c>
      <c r="AS101" s="78">
        <f t="shared" si="29"/>
        <v>0</v>
      </c>
      <c r="AT101" s="78">
        <f>SUM(AT89:AT91)</f>
        <v>40</v>
      </c>
      <c r="AZ101" s="18"/>
      <c r="BA101" s="18"/>
      <c r="BB101" s="18"/>
      <c r="BC101" s="18"/>
      <c r="BD101" s="18"/>
    </row>
    <row r="102" spans="2:56" ht="18" customHeight="1">
      <c r="AA102" s="52" t="s">
        <v>457</v>
      </c>
      <c r="AB102" s="138">
        <f t="shared" ref="AB102:AB105" si="34">SUM(AF52,AF90)</f>
        <v>0</v>
      </c>
      <c r="AC102" s="138">
        <f t="shared" ref="AC102:AC105" si="35">SUM(AD52,AD90)</f>
        <v>24</v>
      </c>
      <c r="AD102" s="138">
        <f t="shared" ref="AD102:AD105" si="36">SUM(AC52,AC90)</f>
        <v>35</v>
      </c>
      <c r="AE102" s="138">
        <f t="shared" ref="AE102:AE105" si="37">SUM(AB52,AB90)</f>
        <v>4</v>
      </c>
      <c r="AF102" s="138">
        <f t="shared" ref="AF102:AF105" si="38">SUM(AE52,AE90)</f>
        <v>0</v>
      </c>
      <c r="AG102" s="138">
        <f t="shared" ref="AG102:AG105" si="39">SUM(AG52,AG90)</f>
        <v>110</v>
      </c>
      <c r="AH102" s="235">
        <f t="shared" si="31"/>
        <v>-4</v>
      </c>
      <c r="AI102" s="138">
        <f t="shared" si="32"/>
        <v>169</v>
      </c>
      <c r="AJ102" s="78"/>
      <c r="AL102" s="52" t="s">
        <v>536</v>
      </c>
      <c r="AM102" s="78">
        <f t="shared" ref="AM102:AR102" si="40">SUM(AM92:AM94)</f>
        <v>10</v>
      </c>
      <c r="AN102" s="78">
        <f t="shared" si="40"/>
        <v>0</v>
      </c>
      <c r="AO102" s="78">
        <f t="shared" si="40"/>
        <v>0</v>
      </c>
      <c r="AP102" s="78">
        <f t="shared" si="40"/>
        <v>0</v>
      </c>
      <c r="AQ102" s="78">
        <f t="shared" si="40"/>
        <v>4</v>
      </c>
      <c r="AR102" s="78">
        <f t="shared" si="40"/>
        <v>30</v>
      </c>
      <c r="AS102" s="78">
        <f t="shared" si="29"/>
        <v>1</v>
      </c>
      <c r="AT102" s="78">
        <f>SUM(AT92:AT94)</f>
        <v>45</v>
      </c>
      <c r="AZ102" s="18"/>
      <c r="BA102" s="18"/>
      <c r="BB102" s="18"/>
      <c r="BC102" s="18"/>
      <c r="BD102" s="18"/>
    </row>
    <row r="103" spans="2:56" ht="18" customHeight="1">
      <c r="AA103" s="52" t="s">
        <v>485</v>
      </c>
      <c r="AB103" s="138">
        <f t="shared" si="34"/>
        <v>19</v>
      </c>
      <c r="AC103" s="138">
        <f t="shared" si="35"/>
        <v>10</v>
      </c>
      <c r="AD103" s="138">
        <f t="shared" si="36"/>
        <v>4</v>
      </c>
      <c r="AE103" s="138">
        <f t="shared" si="37"/>
        <v>25</v>
      </c>
      <c r="AF103" s="138">
        <f t="shared" si="38"/>
        <v>0</v>
      </c>
      <c r="AG103" s="138">
        <f t="shared" si="39"/>
        <v>84</v>
      </c>
      <c r="AH103" s="235">
        <f t="shared" si="31"/>
        <v>3</v>
      </c>
      <c r="AI103" s="138">
        <f t="shared" si="32"/>
        <v>145</v>
      </c>
      <c r="AJ103" s="78"/>
      <c r="AL103" s="154" t="s">
        <v>565</v>
      </c>
      <c r="AM103" s="119">
        <f t="shared" ref="AM103:AT103" si="41">SUM(AM98:AM102)</f>
        <v>70</v>
      </c>
      <c r="AN103" s="119">
        <f t="shared" si="41"/>
        <v>0</v>
      </c>
      <c r="AO103" s="119">
        <f t="shared" si="41"/>
        <v>0</v>
      </c>
      <c r="AP103" s="119">
        <f t="shared" si="41"/>
        <v>0</v>
      </c>
      <c r="AQ103" s="119">
        <f t="shared" si="41"/>
        <v>12</v>
      </c>
      <c r="AR103" s="119">
        <f t="shared" si="41"/>
        <v>120</v>
      </c>
      <c r="AS103" s="119">
        <f t="shared" si="41"/>
        <v>7</v>
      </c>
      <c r="AT103" s="119">
        <f t="shared" si="41"/>
        <v>209</v>
      </c>
      <c r="AU103" s="78">
        <f>(SUM(AM103:AS103))-AT103</f>
        <v>0</v>
      </c>
      <c r="AZ103" s="18"/>
      <c r="BA103" s="18"/>
      <c r="BB103" s="18"/>
      <c r="BC103" s="18"/>
      <c r="BD103" s="18"/>
    </row>
    <row r="104" spans="2:56" ht="18" customHeight="1">
      <c r="Z104" s="82"/>
      <c r="AA104" s="52" t="s">
        <v>510</v>
      </c>
      <c r="AB104" s="138">
        <f t="shared" si="34"/>
        <v>0</v>
      </c>
      <c r="AC104" s="138">
        <f t="shared" si="35"/>
        <v>14</v>
      </c>
      <c r="AD104" s="138">
        <f t="shared" si="36"/>
        <v>8</v>
      </c>
      <c r="AE104" s="138">
        <f t="shared" si="37"/>
        <v>10</v>
      </c>
      <c r="AF104" s="138">
        <f t="shared" si="38"/>
        <v>0</v>
      </c>
      <c r="AG104" s="138">
        <f t="shared" si="39"/>
        <v>120</v>
      </c>
      <c r="AH104" s="235">
        <f t="shared" si="31"/>
        <v>13</v>
      </c>
      <c r="AI104" s="138">
        <f t="shared" si="32"/>
        <v>165</v>
      </c>
      <c r="AJ104" s="78"/>
      <c r="AL104" s="160"/>
      <c r="AZ104" s="18"/>
      <c r="BA104" s="18"/>
      <c r="BB104" s="18"/>
      <c r="BC104" s="18"/>
    </row>
    <row r="105" spans="2:56" ht="18" customHeight="1">
      <c r="Z105" s="82"/>
      <c r="AA105" s="52" t="s">
        <v>536</v>
      </c>
      <c r="AB105" s="138">
        <f t="shared" si="34"/>
        <v>4</v>
      </c>
      <c r="AC105" s="138">
        <f t="shared" si="35"/>
        <v>60</v>
      </c>
      <c r="AD105" s="138">
        <f t="shared" si="36"/>
        <v>10</v>
      </c>
      <c r="AE105" s="138">
        <f t="shared" si="37"/>
        <v>40</v>
      </c>
      <c r="AF105" s="138">
        <f t="shared" si="38"/>
        <v>15</v>
      </c>
      <c r="AG105" s="138">
        <f t="shared" si="39"/>
        <v>174</v>
      </c>
      <c r="AH105" s="235">
        <f t="shared" si="31"/>
        <v>22</v>
      </c>
      <c r="AI105" s="138">
        <f t="shared" si="32"/>
        <v>325</v>
      </c>
      <c r="AJ105" s="78"/>
      <c r="AZ105" s="18"/>
      <c r="BA105" s="18"/>
      <c r="BB105" s="18"/>
      <c r="BC105" s="18"/>
    </row>
    <row r="106" spans="2:56" ht="18" customHeight="1">
      <c r="Z106" s="82"/>
      <c r="AA106" s="118" t="s">
        <v>279</v>
      </c>
      <c r="AB106" s="168">
        <f>SUM(AF56,AF94)</f>
        <v>23</v>
      </c>
      <c r="AC106" s="168">
        <f>SUM(AD56,AD94)</f>
        <v>132</v>
      </c>
      <c r="AD106" s="168">
        <f>SUM(AC56,AC94)</f>
        <v>57</v>
      </c>
      <c r="AE106" s="168">
        <f>SUM(AB56,AB94)</f>
        <v>98</v>
      </c>
      <c r="AF106" s="168">
        <f>SUM(AE56,AE94)</f>
        <v>15</v>
      </c>
      <c r="AG106" s="168">
        <f>SUM(AG56,AG94)</f>
        <v>547</v>
      </c>
      <c r="AH106" s="105">
        <f>SUM(AH101:AH105)</f>
        <v>36</v>
      </c>
      <c r="AI106" s="168">
        <f t="shared" si="32"/>
        <v>908</v>
      </c>
      <c r="AJ106" s="78"/>
      <c r="AL106" s="7"/>
      <c r="AM106" s="7"/>
      <c r="AN106" s="7"/>
      <c r="AO106" s="7"/>
      <c r="AP106" s="7"/>
      <c r="AQ106" s="7"/>
      <c r="AR106" s="7"/>
      <c r="AS106" s="7"/>
      <c r="AT106" s="7"/>
      <c r="AU106" s="7"/>
      <c r="AV106" s="7"/>
    </row>
    <row r="107" spans="2:56" ht="18" customHeight="1">
      <c r="Z107" s="82"/>
      <c r="AA107" s="166" t="s">
        <v>691</v>
      </c>
      <c r="AI107" s="165">
        <v>910</v>
      </c>
      <c r="AL107" s="153" t="s">
        <v>160</v>
      </c>
      <c r="AM107" s="153"/>
      <c r="AN107" s="153"/>
      <c r="AO107" s="153"/>
      <c r="AP107" s="153"/>
      <c r="AQ107" s="153"/>
      <c r="AR107" s="153"/>
      <c r="AS107" s="153"/>
      <c r="AT107" s="153"/>
      <c r="AU107" s="153"/>
    </row>
    <row r="108" spans="2:56" ht="18" customHeight="1">
      <c r="Z108" s="82"/>
      <c r="AI108" s="80"/>
      <c r="AL108" s="7"/>
      <c r="AM108" s="11" t="s">
        <v>145</v>
      </c>
      <c r="AN108" s="11" t="s">
        <v>139</v>
      </c>
      <c r="AO108" s="11" t="s">
        <v>157</v>
      </c>
      <c r="AP108" s="11" t="s">
        <v>187</v>
      </c>
      <c r="AQ108" s="11" t="s">
        <v>186</v>
      </c>
      <c r="AR108" s="11" t="s">
        <v>136</v>
      </c>
      <c r="AS108" s="216" t="s">
        <v>562</v>
      </c>
      <c r="AT108" s="11" t="s">
        <v>149</v>
      </c>
    </row>
    <row r="109" spans="2:56" ht="20.25" customHeight="1">
      <c r="Z109" s="82"/>
      <c r="AA109" s="7"/>
      <c r="AB109" s="11" t="s">
        <v>145</v>
      </c>
      <c r="AC109" s="11" t="s">
        <v>139</v>
      </c>
      <c r="AD109" s="11" t="s">
        <v>157</v>
      </c>
      <c r="AE109" s="7" t="s">
        <v>187</v>
      </c>
      <c r="AF109" s="11" t="s">
        <v>136</v>
      </c>
      <c r="AG109" s="135" t="s">
        <v>189</v>
      </c>
      <c r="AH109" s="135"/>
      <c r="AL109" s="137" t="s">
        <v>563</v>
      </c>
      <c r="AM109" s="138">
        <f t="shared" ref="AM109:AM114" si="42">SUM(AO51,AO98)</f>
        <v>14</v>
      </c>
      <c r="AN109" s="138">
        <f t="shared" ref="AN109:AN114" si="43">SUM(AN51,AN98)</f>
        <v>10</v>
      </c>
      <c r="AO109" s="138">
        <f t="shared" ref="AO109:AO114" si="44">SUM(AM51,AM98)</f>
        <v>20</v>
      </c>
      <c r="AP109" s="138">
        <f t="shared" ref="AP109:AT114" si="45">SUM(AP51,AP98)</f>
        <v>4</v>
      </c>
      <c r="AQ109" s="138">
        <f t="shared" si="45"/>
        <v>0</v>
      </c>
      <c r="AR109" s="138">
        <f t="shared" si="45"/>
        <v>85</v>
      </c>
      <c r="AS109" s="236">
        <f t="shared" si="45"/>
        <v>4</v>
      </c>
      <c r="AT109" s="138">
        <f t="shared" si="45"/>
        <v>138</v>
      </c>
    </row>
    <row r="110" spans="2:56" ht="18" customHeight="1">
      <c r="AA110" s="52" t="s">
        <v>426</v>
      </c>
      <c r="AB110" s="126">
        <f>IFERROR(AC101/AC$106,"0"%)</f>
        <v>0.18181818181818182</v>
      </c>
      <c r="AC110" s="126">
        <f>IFERROR(AD101/AD$106,"0"%)</f>
        <v>0</v>
      </c>
      <c r="AD110" s="126">
        <f>IFERROR(AE101/AE$106, "0"%)</f>
        <v>0.19387755102040816</v>
      </c>
      <c r="AE110" s="126">
        <f>IFERROR(AF101/AF$106, "0"%)</f>
        <v>0</v>
      </c>
      <c r="AF110" s="126">
        <f>IFERROR(AG101/AG$106, "0"%)</f>
        <v>0.10786106032906764</v>
      </c>
      <c r="AG110" s="126">
        <f>IFERROR(AI101/AI$106,"0"%)</f>
        <v>0.11453744493392071</v>
      </c>
      <c r="AH110" s="126"/>
      <c r="AL110" s="52" t="s">
        <v>457</v>
      </c>
      <c r="AM110" s="138">
        <f t="shared" si="42"/>
        <v>20</v>
      </c>
      <c r="AN110" s="138">
        <f t="shared" si="43"/>
        <v>0</v>
      </c>
      <c r="AO110" s="138">
        <f t="shared" si="44"/>
        <v>55</v>
      </c>
      <c r="AP110" s="138">
        <f t="shared" si="45"/>
        <v>0</v>
      </c>
      <c r="AQ110" s="138">
        <f t="shared" si="45"/>
        <v>4</v>
      </c>
      <c r="AR110" s="138">
        <f t="shared" si="45"/>
        <v>110</v>
      </c>
      <c r="AS110" s="236">
        <f t="shared" si="45"/>
        <v>1</v>
      </c>
      <c r="AT110" s="138">
        <f t="shared" si="45"/>
        <v>190</v>
      </c>
    </row>
    <row r="111" spans="2:56" ht="18" customHeight="1">
      <c r="AA111" s="52" t="s">
        <v>457</v>
      </c>
      <c r="AB111" s="126">
        <f t="shared" ref="AB111:AC114" si="46">IFERROR(AC102/AC$106,"0"%)</f>
        <v>0.18181818181818182</v>
      </c>
      <c r="AC111" s="126">
        <f t="shared" si="46"/>
        <v>0.61403508771929827</v>
      </c>
      <c r="AD111" s="126">
        <f t="shared" ref="AD111:AF114" si="47">IFERROR(AE102/AE$106, "0"%)</f>
        <v>4.0816326530612242E-2</v>
      </c>
      <c r="AE111" s="126">
        <f t="shared" si="47"/>
        <v>0</v>
      </c>
      <c r="AF111" s="126">
        <f t="shared" si="47"/>
        <v>0.20109689213893966</v>
      </c>
      <c r="AG111" s="126">
        <f t="shared" ref="AG111:AG114" si="48">IFERROR(AI102/AI$106,"0"%)</f>
        <v>0.18612334801762115</v>
      </c>
      <c r="AH111" s="126"/>
      <c r="AL111" s="52" t="s">
        <v>485</v>
      </c>
      <c r="AM111" s="138">
        <f t="shared" si="42"/>
        <v>10</v>
      </c>
      <c r="AN111" s="138">
        <f t="shared" si="43"/>
        <v>0</v>
      </c>
      <c r="AO111" s="138">
        <f t="shared" si="44"/>
        <v>0</v>
      </c>
      <c r="AP111" s="138">
        <f t="shared" si="45"/>
        <v>10</v>
      </c>
      <c r="AQ111" s="138">
        <f t="shared" si="45"/>
        <v>4</v>
      </c>
      <c r="AR111" s="138">
        <f t="shared" si="45"/>
        <v>145</v>
      </c>
      <c r="AS111" s="236">
        <f t="shared" si="45"/>
        <v>1</v>
      </c>
      <c r="AT111" s="138">
        <f t="shared" si="45"/>
        <v>165</v>
      </c>
    </row>
    <row r="112" spans="2:56" ht="18" customHeight="1">
      <c r="AA112" s="52" t="s">
        <v>485</v>
      </c>
      <c r="AB112" s="126">
        <f t="shared" si="46"/>
        <v>7.575757575757576E-2</v>
      </c>
      <c r="AC112" s="126">
        <f t="shared" si="46"/>
        <v>7.0175438596491224E-2</v>
      </c>
      <c r="AD112" s="126">
        <f t="shared" si="47"/>
        <v>0.25510204081632654</v>
      </c>
      <c r="AE112" s="126">
        <f t="shared" si="47"/>
        <v>0</v>
      </c>
      <c r="AF112" s="126">
        <f t="shared" si="47"/>
        <v>0.15356489945155394</v>
      </c>
      <c r="AG112" s="126">
        <f t="shared" si="48"/>
        <v>0.15969162995594713</v>
      </c>
      <c r="AH112" s="126"/>
      <c r="AL112" s="52" t="s">
        <v>510</v>
      </c>
      <c r="AM112" s="138">
        <f t="shared" si="42"/>
        <v>20</v>
      </c>
      <c r="AN112" s="138">
        <f t="shared" si="43"/>
        <v>0</v>
      </c>
      <c r="AO112" s="138">
        <f t="shared" si="44"/>
        <v>35</v>
      </c>
      <c r="AP112" s="138">
        <f t="shared" si="45"/>
        <v>20</v>
      </c>
      <c r="AQ112" s="138">
        <f t="shared" si="45"/>
        <v>0</v>
      </c>
      <c r="AR112" s="138">
        <f t="shared" si="45"/>
        <v>65</v>
      </c>
      <c r="AS112" s="236">
        <f t="shared" si="45"/>
        <v>10</v>
      </c>
      <c r="AT112" s="138">
        <f t="shared" si="45"/>
        <v>140</v>
      </c>
    </row>
    <row r="113" spans="2:48" ht="18" customHeight="1">
      <c r="AA113" s="52" t="s">
        <v>510</v>
      </c>
      <c r="AB113" s="126">
        <f t="shared" si="46"/>
        <v>0.10606060606060606</v>
      </c>
      <c r="AC113" s="126">
        <f t="shared" si="46"/>
        <v>0.14035087719298245</v>
      </c>
      <c r="AD113" s="126">
        <f t="shared" si="47"/>
        <v>0.10204081632653061</v>
      </c>
      <c r="AE113" s="126">
        <f t="shared" si="47"/>
        <v>0</v>
      </c>
      <c r="AF113" s="126">
        <f t="shared" si="47"/>
        <v>0.21937842778793418</v>
      </c>
      <c r="AG113" s="126">
        <f t="shared" si="48"/>
        <v>0.18171806167400881</v>
      </c>
      <c r="AH113" s="126"/>
      <c r="AL113" s="52" t="s">
        <v>536</v>
      </c>
      <c r="AM113" s="138">
        <f t="shared" si="42"/>
        <v>0</v>
      </c>
      <c r="AN113" s="138">
        <f t="shared" si="43"/>
        <v>4</v>
      </c>
      <c r="AO113" s="138">
        <f t="shared" si="44"/>
        <v>10</v>
      </c>
      <c r="AP113" s="138">
        <f t="shared" si="45"/>
        <v>0</v>
      </c>
      <c r="AQ113" s="138">
        <f t="shared" si="45"/>
        <v>8</v>
      </c>
      <c r="AR113" s="138">
        <f t="shared" si="45"/>
        <v>270</v>
      </c>
      <c r="AS113" s="236">
        <f t="shared" si="45"/>
        <v>15</v>
      </c>
      <c r="AT113" s="138">
        <f t="shared" si="45"/>
        <v>305</v>
      </c>
    </row>
    <row r="114" spans="2:48" ht="18" customHeight="1">
      <c r="AA114" s="52" t="s">
        <v>536</v>
      </c>
      <c r="AB114" s="126">
        <f t="shared" si="46"/>
        <v>0.45454545454545453</v>
      </c>
      <c r="AC114" s="126">
        <f t="shared" si="46"/>
        <v>0.17543859649122806</v>
      </c>
      <c r="AD114" s="126">
        <f t="shared" si="47"/>
        <v>0.40816326530612246</v>
      </c>
      <c r="AE114" s="126">
        <f t="shared" si="47"/>
        <v>1</v>
      </c>
      <c r="AF114" s="126">
        <f t="shared" si="47"/>
        <v>0.31809872029250458</v>
      </c>
      <c r="AG114" s="126">
        <f t="shared" si="48"/>
        <v>0.35792951541850221</v>
      </c>
      <c r="AH114" s="126"/>
      <c r="AL114" s="118" t="s">
        <v>279</v>
      </c>
      <c r="AM114" s="168">
        <f t="shared" si="42"/>
        <v>64</v>
      </c>
      <c r="AN114" s="168">
        <f t="shared" si="43"/>
        <v>14</v>
      </c>
      <c r="AO114" s="168">
        <f t="shared" si="44"/>
        <v>120</v>
      </c>
      <c r="AP114" s="168">
        <f t="shared" si="45"/>
        <v>34</v>
      </c>
      <c r="AQ114" s="168">
        <f t="shared" si="45"/>
        <v>16</v>
      </c>
      <c r="AR114" s="168">
        <f t="shared" si="45"/>
        <v>675</v>
      </c>
      <c r="AS114" s="236">
        <f t="shared" si="45"/>
        <v>31</v>
      </c>
      <c r="AT114" s="168">
        <f t="shared" si="45"/>
        <v>938</v>
      </c>
    </row>
    <row r="115" spans="2:48" ht="13.9" customHeight="1">
      <c r="B115" s="327" t="s">
        <v>564</v>
      </c>
      <c r="C115" s="327"/>
      <c r="D115" s="327"/>
      <c r="E115" s="327"/>
      <c r="F115" s="327"/>
      <c r="G115" s="327"/>
      <c r="H115" s="327"/>
      <c r="I115" s="327"/>
      <c r="AI115" s="80"/>
      <c r="AL115" s="160" t="s">
        <v>692</v>
      </c>
      <c r="AS115" s="7"/>
      <c r="AT115" s="1">
        <v>940</v>
      </c>
    </row>
    <row r="116" spans="2:48" ht="13.9" customHeight="1">
      <c r="B116" s="327"/>
      <c r="C116" s="327"/>
      <c r="D116" s="327"/>
      <c r="E116" s="327"/>
      <c r="F116" s="327"/>
      <c r="G116" s="327"/>
      <c r="H116" s="327"/>
      <c r="I116" s="327"/>
      <c r="AI116" s="80"/>
      <c r="AS116" s="80"/>
    </row>
    <row r="117" spans="2:48" ht="13.9" customHeight="1">
      <c r="AI117" s="80"/>
      <c r="AL117" s="7"/>
      <c r="AM117" s="11" t="s">
        <v>145</v>
      </c>
      <c r="AN117" s="11" t="s">
        <v>139</v>
      </c>
      <c r="AO117" s="11" t="s">
        <v>157</v>
      </c>
      <c r="AP117" s="11" t="s">
        <v>151</v>
      </c>
      <c r="AQ117" s="11" t="s">
        <v>136</v>
      </c>
      <c r="AR117" s="135" t="s">
        <v>189</v>
      </c>
    </row>
    <row r="118" spans="2:48" ht="13.9" customHeight="1">
      <c r="AA118" s="162" t="s">
        <v>693</v>
      </c>
      <c r="AI118" s="80"/>
      <c r="AL118" s="52" t="s">
        <v>563</v>
      </c>
      <c r="AM118" s="126">
        <f t="shared" ref="AM118:AO122" si="49">AM109/AM$114</f>
        <v>0.21875</v>
      </c>
      <c r="AN118" s="126">
        <f t="shared" si="49"/>
        <v>0.7142857142857143</v>
      </c>
      <c r="AO118" s="126">
        <f t="shared" si="49"/>
        <v>0.16666666666666666</v>
      </c>
      <c r="AP118" s="126">
        <f>SUM(AP109:AQ109:AS109)/SUM(AP$114:AQ$114:AS$114)</f>
        <v>0.12301587301587301</v>
      </c>
      <c r="AQ118" s="126">
        <f>AR109/AR$114</f>
        <v>0.12592592592592591</v>
      </c>
      <c r="AR118" s="126">
        <f>AT109/AT$114</f>
        <v>0.14712153518123666</v>
      </c>
    </row>
    <row r="119" spans="2:48" ht="21" customHeight="1">
      <c r="B119" s="350" t="str">
        <f>"Table 7. "&amp;City_label&amp;" five year change in households by income and race, 2014 - 2019"</f>
        <v>Table 7. Algona five year change in households by income and race, 2014 - 2019</v>
      </c>
      <c r="C119" s="350"/>
      <c r="D119" s="350"/>
      <c r="E119" s="350"/>
      <c r="F119" s="350"/>
      <c r="G119" s="350"/>
      <c r="H119" s="350"/>
      <c r="AI119" s="80"/>
      <c r="AL119" s="52" t="s">
        <v>457</v>
      </c>
      <c r="AM119" s="126">
        <f t="shared" si="49"/>
        <v>0.3125</v>
      </c>
      <c r="AN119" s="126">
        <f t="shared" si="49"/>
        <v>0</v>
      </c>
      <c r="AO119" s="126">
        <f t="shared" si="49"/>
        <v>0.45833333333333331</v>
      </c>
      <c r="AP119" s="126">
        <f>SUM(AP110:AQ110:AS110)/SUM(AP$114:AQ$114:AS$114)</f>
        <v>0.15211640211640212</v>
      </c>
      <c r="AQ119" s="126">
        <f>AR110/AR$114</f>
        <v>0.16296296296296298</v>
      </c>
      <c r="AR119" s="126">
        <f>AT110/AT$114</f>
        <v>0.20255863539445629</v>
      </c>
    </row>
    <row r="120" spans="2:48" ht="21" customHeight="1">
      <c r="B120" s="350"/>
      <c r="C120" s="350"/>
      <c r="D120" s="350"/>
      <c r="E120" s="350"/>
      <c r="F120" s="350"/>
      <c r="G120" s="350"/>
      <c r="H120" s="350"/>
      <c r="AB120" s="7" t="s">
        <v>188</v>
      </c>
      <c r="AC120" s="7" t="s">
        <v>694</v>
      </c>
      <c r="AD120" s="7" t="s">
        <v>136</v>
      </c>
      <c r="AE120" s="7"/>
      <c r="AF120" s="7" t="s">
        <v>188</v>
      </c>
      <c r="AG120" s="7" t="s">
        <v>694</v>
      </c>
      <c r="AH120" s="7" t="s">
        <v>136</v>
      </c>
      <c r="AL120" s="52" t="s">
        <v>485</v>
      </c>
      <c r="AM120" s="126">
        <f t="shared" si="49"/>
        <v>0.15625</v>
      </c>
      <c r="AN120" s="126">
        <f t="shared" si="49"/>
        <v>0</v>
      </c>
      <c r="AO120" s="126">
        <f t="shared" si="49"/>
        <v>0</v>
      </c>
      <c r="AP120" s="126">
        <f>SUM(AP111:AQ111:AS111)/SUM(AP$114:AQ$114:AS$114)</f>
        <v>0.21164021164021163</v>
      </c>
      <c r="AQ120" s="126">
        <f>AR111/AR$114</f>
        <v>0.21481481481481482</v>
      </c>
      <c r="AR120" s="126">
        <f>AT111/AT$114</f>
        <v>0.17590618336886993</v>
      </c>
    </row>
    <row r="121" spans="2:48" ht="13.9" customHeight="1" thickBot="1">
      <c r="AA121" s="52" t="s">
        <v>563</v>
      </c>
      <c r="AB121" s="78">
        <f>AE101</f>
        <v>19</v>
      </c>
      <c r="AC121" s="78">
        <f>SUM(AB101:AD101,AF101,AH101)</f>
        <v>26</v>
      </c>
      <c r="AD121" s="78">
        <f>AG101</f>
        <v>59</v>
      </c>
      <c r="AF121" s="126">
        <f>AB121/$AB$126</f>
        <v>0.19387755102040816</v>
      </c>
      <c r="AG121" s="126">
        <f>AC121/$AC$126</f>
        <v>9.8859315589353611E-2</v>
      </c>
      <c r="AH121" s="126">
        <f>AD121/$AD$126</f>
        <v>0.10786106032906764</v>
      </c>
      <c r="AL121" s="52" t="s">
        <v>510</v>
      </c>
      <c r="AM121" s="126">
        <f t="shared" si="49"/>
        <v>0.3125</v>
      </c>
      <c r="AN121" s="126">
        <f t="shared" si="49"/>
        <v>0</v>
      </c>
      <c r="AO121" s="126">
        <f t="shared" si="49"/>
        <v>0.29166666666666669</v>
      </c>
      <c r="AP121" s="126">
        <f>SUM(AP112:AQ112:AS112)/SUM(AP$114:AQ$114:AS$114)</f>
        <v>0.12566137566137567</v>
      </c>
      <c r="AQ121" s="126">
        <f>AR112/AR$114</f>
        <v>9.6296296296296297E-2</v>
      </c>
      <c r="AR121" s="126">
        <f>AT112/AT$114</f>
        <v>0.14925373134328357</v>
      </c>
      <c r="AV121" s="7"/>
    </row>
    <row r="122" spans="2:48" ht="19.5" customHeight="1">
      <c r="B122" s="347"/>
      <c r="C122" s="340" t="s">
        <v>412</v>
      </c>
      <c r="D122" s="340" t="s">
        <v>695</v>
      </c>
      <c r="E122" s="340" t="s">
        <v>696</v>
      </c>
      <c r="F122" s="340" t="s">
        <v>697</v>
      </c>
      <c r="G122" s="340" t="s">
        <v>698</v>
      </c>
      <c r="H122" s="340" t="s">
        <v>189</v>
      </c>
      <c r="AA122" s="52" t="s">
        <v>457</v>
      </c>
      <c r="AB122" s="78">
        <f>AE102</f>
        <v>4</v>
      </c>
      <c r="AC122" s="78">
        <f t="shared" ref="AC122:AC125" si="50">SUM(AB102:AD102,AF102,AH102)</f>
        <v>55</v>
      </c>
      <c r="AD122" s="78">
        <f>AG102</f>
        <v>110</v>
      </c>
      <c r="AF122" s="126">
        <f>AB122/$AB$126</f>
        <v>4.0816326530612242E-2</v>
      </c>
      <c r="AG122" s="126">
        <f>AC122/$AC$126</f>
        <v>0.20912547528517111</v>
      </c>
      <c r="AH122" s="126">
        <f>AD122/$AD$126</f>
        <v>0.20109689213893966</v>
      </c>
      <c r="AL122" s="52" t="s">
        <v>536</v>
      </c>
      <c r="AM122" s="275">
        <f t="shared" si="49"/>
        <v>0</v>
      </c>
      <c r="AN122" s="275">
        <f t="shared" si="49"/>
        <v>0.2857142857142857</v>
      </c>
      <c r="AO122" s="275">
        <f t="shared" si="49"/>
        <v>8.3333333333333329E-2</v>
      </c>
      <c r="AP122" s="275">
        <f>SUM(AP113:AQ113:AS113)/SUM(AP$114:AQ$114:AS$114)</f>
        <v>0.38756613756613756</v>
      </c>
      <c r="AQ122" s="275">
        <f>AR113/AR$114</f>
        <v>0.4</v>
      </c>
      <c r="AR122" s="275">
        <f>AT113/AT$114</f>
        <v>0.3251599147121535</v>
      </c>
      <c r="AV122" s="7"/>
    </row>
    <row r="123" spans="2:48" ht="19.5" customHeight="1">
      <c r="B123" s="348"/>
      <c r="C123" s="341"/>
      <c r="D123" s="341"/>
      <c r="E123" s="341"/>
      <c r="F123" s="341"/>
      <c r="G123" s="341"/>
      <c r="H123" s="341"/>
      <c r="AA123" s="52" t="s">
        <v>485</v>
      </c>
      <c r="AB123" s="78">
        <f>AE103</f>
        <v>25</v>
      </c>
      <c r="AC123" s="78">
        <f t="shared" si="50"/>
        <v>36</v>
      </c>
      <c r="AD123" s="78">
        <f>AG103</f>
        <v>84</v>
      </c>
      <c r="AF123" s="126">
        <f>AB123/$AB$126</f>
        <v>0.25510204081632654</v>
      </c>
      <c r="AG123" s="126">
        <f>AC123/$AC$126</f>
        <v>0.13688212927756654</v>
      </c>
      <c r="AH123" s="126">
        <f>AD123/$AD$126</f>
        <v>0.15356489945155394</v>
      </c>
      <c r="AL123" s="118" t="s">
        <v>149</v>
      </c>
      <c r="AM123" s="274">
        <f>SUM(AM118:AM122)</f>
        <v>1</v>
      </c>
      <c r="AN123" s="274">
        <f t="shared" ref="AN123:AR123" si="51">SUM(AN118:AN122)</f>
        <v>1</v>
      </c>
      <c r="AO123" s="274">
        <f>SUM(AO118:AO122)</f>
        <v>1</v>
      </c>
      <c r="AP123" s="274">
        <f t="shared" si="51"/>
        <v>1</v>
      </c>
      <c r="AQ123" s="274">
        <f t="shared" si="51"/>
        <v>1</v>
      </c>
      <c r="AR123" s="274">
        <f t="shared" si="51"/>
        <v>1</v>
      </c>
      <c r="AV123" s="7"/>
    </row>
    <row r="124" spans="2:48" ht="13.9" customHeight="1">
      <c r="B124" s="349"/>
      <c r="C124" s="342"/>
      <c r="D124" s="342"/>
      <c r="E124" s="342"/>
      <c r="F124" s="342"/>
      <c r="G124" s="342"/>
      <c r="H124" s="342"/>
      <c r="AA124" s="52" t="s">
        <v>510</v>
      </c>
      <c r="AB124" s="78">
        <f>AE104</f>
        <v>10</v>
      </c>
      <c r="AC124" s="78">
        <f t="shared" si="50"/>
        <v>35</v>
      </c>
      <c r="AD124" s="78">
        <f>AG104</f>
        <v>120</v>
      </c>
      <c r="AF124" s="126">
        <f>AB124/$AB$126</f>
        <v>0.10204081632653061</v>
      </c>
      <c r="AG124" s="126">
        <f>AC124/$AC$126</f>
        <v>0.13307984790874525</v>
      </c>
      <c r="AH124" s="126">
        <f>AD124/$AD$126</f>
        <v>0.21937842778793418</v>
      </c>
      <c r="AS124" s="80"/>
      <c r="AV124" s="7"/>
    </row>
    <row r="125" spans="2:48" ht="21" customHeight="1">
      <c r="B125" s="224" t="s">
        <v>279</v>
      </c>
      <c r="C125" s="225"/>
      <c r="D125" s="226"/>
      <c r="E125" s="226"/>
      <c r="F125" s="226"/>
      <c r="G125" s="226"/>
      <c r="H125" s="226"/>
      <c r="AA125" s="52" t="s">
        <v>536</v>
      </c>
      <c r="AB125" s="278">
        <f>AE105</f>
        <v>40</v>
      </c>
      <c r="AC125" s="278">
        <f t="shared" si="50"/>
        <v>111</v>
      </c>
      <c r="AD125" s="278">
        <f>AG105</f>
        <v>174</v>
      </c>
      <c r="AE125" s="279"/>
      <c r="AF125" s="275">
        <f>AB125/$AB$126</f>
        <v>0.40816326530612246</v>
      </c>
      <c r="AG125" s="275">
        <f>AC125/$AC$126</f>
        <v>0.4220532319391635</v>
      </c>
      <c r="AH125" s="275">
        <f>AD125/$AD$126</f>
        <v>0.31809872029250458</v>
      </c>
      <c r="AS125" s="80"/>
      <c r="AV125" s="7"/>
    </row>
    <row r="126" spans="2:48" ht="21" customHeight="1">
      <c r="B126" s="35">
        <v>2015</v>
      </c>
      <c r="C126" s="227">
        <f>AT109</f>
        <v>138</v>
      </c>
      <c r="D126" s="228">
        <f>AT110</f>
        <v>190</v>
      </c>
      <c r="E126" s="228">
        <f>AT111</f>
        <v>165</v>
      </c>
      <c r="F126" s="228">
        <f>AT112</f>
        <v>140</v>
      </c>
      <c r="G126" s="228">
        <f>AT113</f>
        <v>305</v>
      </c>
      <c r="H126" s="228">
        <f>AT114</f>
        <v>938</v>
      </c>
      <c r="AA126" s="77" t="s">
        <v>149</v>
      </c>
      <c r="AB126" s="119">
        <f>SUM(AB121:AB125)</f>
        <v>98</v>
      </c>
      <c r="AC126" s="119">
        <f>SUM(AC121:AC125)</f>
        <v>263</v>
      </c>
      <c r="AD126" s="119">
        <f>SUM(AD121:AD125)</f>
        <v>547</v>
      </c>
      <c r="AF126" s="274">
        <f>SUM(AF121:AF125)</f>
        <v>1</v>
      </c>
      <c r="AG126" s="274">
        <f t="shared" ref="AG126:AH126" si="52">SUM(AG121:AG125)</f>
        <v>1</v>
      </c>
      <c r="AH126" s="274">
        <f t="shared" si="52"/>
        <v>1</v>
      </c>
      <c r="AI126" s="80"/>
      <c r="AL126" s="162"/>
      <c r="AS126" s="80"/>
      <c r="AV126" s="7"/>
    </row>
    <row r="127" spans="2:48" ht="21" customHeight="1">
      <c r="B127" s="35">
        <v>2020</v>
      </c>
      <c r="C127" s="227">
        <f>AI101</f>
        <v>104</v>
      </c>
      <c r="D127" s="228">
        <f>AI102</f>
        <v>169</v>
      </c>
      <c r="E127" s="228">
        <f>AI103</f>
        <v>145</v>
      </c>
      <c r="F127" s="228">
        <f>AI104</f>
        <v>165</v>
      </c>
      <c r="G127" s="228">
        <f>AI105</f>
        <v>325</v>
      </c>
      <c r="H127" s="228">
        <f>AI106</f>
        <v>908</v>
      </c>
      <c r="AI127" s="80"/>
      <c r="AS127" s="80"/>
      <c r="AV127" s="7"/>
    </row>
    <row r="128" spans="2:48" ht="18" customHeight="1">
      <c r="B128" s="224" t="str">
        <f>AM108</f>
        <v>Asian</v>
      </c>
      <c r="C128" s="229"/>
      <c r="D128" s="229"/>
      <c r="E128" s="229"/>
      <c r="F128" s="229"/>
      <c r="G128" s="229"/>
      <c r="H128" s="229"/>
      <c r="AI128" s="80"/>
      <c r="AM128" s="7"/>
      <c r="AN128" s="7"/>
      <c r="AO128" s="7"/>
      <c r="AQ128" s="7"/>
      <c r="AR128" s="7"/>
      <c r="AV128" s="7"/>
    </row>
    <row r="129" spans="2:48" ht="18" customHeight="1">
      <c r="B129" s="35">
        <v>2015</v>
      </c>
      <c r="C129" s="228">
        <f>AM109</f>
        <v>14</v>
      </c>
      <c r="D129" s="228">
        <f>AM110</f>
        <v>20</v>
      </c>
      <c r="E129" s="228">
        <f>AM111</f>
        <v>10</v>
      </c>
      <c r="F129" s="228">
        <f>AM112</f>
        <v>20</v>
      </c>
      <c r="G129" s="228">
        <f>AM113</f>
        <v>0</v>
      </c>
      <c r="H129" s="228">
        <f>AM114</f>
        <v>64</v>
      </c>
      <c r="AI129" s="80"/>
      <c r="AL129" s="52"/>
      <c r="AM129" s="78"/>
      <c r="AN129" s="78"/>
      <c r="AO129" s="78"/>
      <c r="AQ129" s="126"/>
      <c r="AR129" s="126"/>
      <c r="AS129" s="126"/>
      <c r="AV129" s="7"/>
    </row>
    <row r="130" spans="2:48" ht="18" customHeight="1">
      <c r="B130" s="35">
        <v>2020</v>
      </c>
      <c r="C130" s="228">
        <f>AC101</f>
        <v>24</v>
      </c>
      <c r="D130" s="228">
        <f>AC102</f>
        <v>24</v>
      </c>
      <c r="E130" s="228">
        <f>AC103</f>
        <v>10</v>
      </c>
      <c r="F130" s="228">
        <f>AC104</f>
        <v>14</v>
      </c>
      <c r="G130" s="228">
        <f>AC105</f>
        <v>60</v>
      </c>
      <c r="H130" s="228">
        <f>AC106</f>
        <v>132</v>
      </c>
      <c r="AI130" s="80"/>
      <c r="AL130" s="52"/>
      <c r="AM130" s="78"/>
      <c r="AN130" s="78"/>
      <c r="AO130" s="78"/>
      <c r="AQ130" s="126"/>
      <c r="AR130" s="126"/>
      <c r="AS130" s="126"/>
      <c r="AV130" s="7"/>
    </row>
    <row r="131" spans="2:48" ht="18" customHeight="1">
      <c r="B131" s="224" t="s">
        <v>139</v>
      </c>
      <c r="C131" s="229"/>
      <c r="D131" s="229"/>
      <c r="E131" s="229"/>
      <c r="F131" s="229"/>
      <c r="G131" s="229"/>
      <c r="H131" s="229"/>
      <c r="AA131" s="7"/>
      <c r="AI131" s="80"/>
      <c r="AL131" s="52"/>
      <c r="AM131" s="78"/>
      <c r="AN131" s="78"/>
      <c r="AO131" s="78"/>
      <c r="AQ131" s="126"/>
      <c r="AR131" s="126"/>
      <c r="AS131" s="126"/>
      <c r="AV131" s="7"/>
    </row>
    <row r="132" spans="2:48" ht="18" customHeight="1">
      <c r="B132" s="35">
        <v>2015</v>
      </c>
      <c r="C132" s="228">
        <f>AN109</f>
        <v>10</v>
      </c>
      <c r="D132" s="228">
        <f>AN110</f>
        <v>0</v>
      </c>
      <c r="E132" s="228">
        <f>AN111</f>
        <v>0</v>
      </c>
      <c r="F132" s="228">
        <f>AN112</f>
        <v>0</v>
      </c>
      <c r="G132" s="228">
        <f>AN113</f>
        <v>4</v>
      </c>
      <c r="H132" s="228">
        <f>AN114</f>
        <v>14</v>
      </c>
      <c r="AI132" s="80"/>
      <c r="AL132" s="52"/>
      <c r="AM132" s="78"/>
      <c r="AN132" s="78"/>
      <c r="AO132" s="78"/>
      <c r="AQ132" s="126"/>
      <c r="AR132" s="126"/>
      <c r="AS132" s="126"/>
      <c r="AV132" s="7"/>
    </row>
    <row r="133" spans="2:48" ht="18" customHeight="1">
      <c r="B133" s="35">
        <v>2020</v>
      </c>
      <c r="C133" s="228">
        <f>AD101</f>
        <v>0</v>
      </c>
      <c r="D133" s="228">
        <f>AD102</f>
        <v>35</v>
      </c>
      <c r="E133" s="228">
        <f>AD103</f>
        <v>4</v>
      </c>
      <c r="F133" s="228">
        <f>AD104</f>
        <v>8</v>
      </c>
      <c r="G133" s="228">
        <f>AD105</f>
        <v>10</v>
      </c>
      <c r="H133" s="228">
        <f>AD106</f>
        <v>57</v>
      </c>
      <c r="AI133" s="80"/>
      <c r="AL133" s="52"/>
      <c r="AM133" s="78"/>
      <c r="AN133" s="78"/>
      <c r="AO133" s="78"/>
      <c r="AQ133" s="126"/>
      <c r="AR133" s="126"/>
      <c r="AS133" s="126"/>
      <c r="AV133" s="7"/>
    </row>
    <row r="134" spans="2:48" ht="18" customHeight="1">
      <c r="B134" s="224" t="s">
        <v>157</v>
      </c>
      <c r="C134" s="229"/>
      <c r="D134" s="229"/>
      <c r="E134" s="229"/>
      <c r="F134" s="229"/>
      <c r="G134" s="229"/>
      <c r="H134" s="229"/>
      <c r="AA134" s="7"/>
      <c r="AB134" s="7"/>
      <c r="AC134" s="7"/>
      <c r="AD134" s="7"/>
      <c r="AE134" s="7"/>
      <c r="AF134" s="7"/>
      <c r="AG134" s="7"/>
      <c r="AH134" s="7"/>
      <c r="AI134" s="7"/>
      <c r="AJ134" s="7"/>
      <c r="AK134" s="7"/>
      <c r="AM134" s="78"/>
      <c r="AN134" s="78"/>
      <c r="AO134" s="78"/>
      <c r="AS134" s="80"/>
      <c r="AV134" s="7"/>
    </row>
    <row r="135" spans="2:48" ht="18" customHeight="1">
      <c r="B135" s="35">
        <v>2015</v>
      </c>
      <c r="C135" s="228">
        <f>AO109</f>
        <v>20</v>
      </c>
      <c r="D135" s="228">
        <f>AO110</f>
        <v>55</v>
      </c>
      <c r="E135" s="228">
        <f>AO111</f>
        <v>0</v>
      </c>
      <c r="F135" s="228">
        <f>AO112</f>
        <v>35</v>
      </c>
      <c r="G135" s="228">
        <f>AO113</f>
        <v>10</v>
      </c>
      <c r="H135" s="228">
        <f>AO114</f>
        <v>120</v>
      </c>
      <c r="AA135" s="7"/>
      <c r="AB135" s="7"/>
      <c r="AC135" s="7"/>
      <c r="AD135" s="7"/>
      <c r="AE135" s="7"/>
      <c r="AF135" s="7"/>
      <c r="AG135" s="7"/>
      <c r="AH135" s="7"/>
      <c r="AI135" s="7"/>
      <c r="AJ135" s="7"/>
      <c r="AK135" s="7"/>
      <c r="AS135" s="80"/>
      <c r="AV135" s="7"/>
    </row>
    <row r="136" spans="2:48" ht="18" customHeight="1">
      <c r="B136" s="35">
        <v>2020</v>
      </c>
      <c r="C136" s="230">
        <f>AE101</f>
        <v>19</v>
      </c>
      <c r="D136" s="230">
        <f>AE102</f>
        <v>4</v>
      </c>
      <c r="E136" s="230">
        <f>AE103</f>
        <v>25</v>
      </c>
      <c r="F136" s="230">
        <f>AE104</f>
        <v>10</v>
      </c>
      <c r="G136" s="230">
        <f>AE105</f>
        <v>40</v>
      </c>
      <c r="H136" s="230">
        <f>AE106</f>
        <v>98</v>
      </c>
      <c r="AA136" s="7"/>
      <c r="AB136" s="7"/>
      <c r="AC136" s="7"/>
      <c r="AD136" s="7"/>
      <c r="AE136" s="7"/>
      <c r="AF136" s="7"/>
      <c r="AG136" s="7"/>
      <c r="AH136" s="7"/>
      <c r="AI136" s="7"/>
      <c r="AJ136" s="7"/>
      <c r="AK136" s="7"/>
      <c r="AS136" s="80"/>
      <c r="AV136" s="7"/>
    </row>
    <row r="137" spans="2:48" ht="18" customHeight="1">
      <c r="B137" s="224" t="s">
        <v>151</v>
      </c>
      <c r="C137" s="229"/>
      <c r="D137" s="229"/>
      <c r="E137" s="229"/>
      <c r="F137" s="229"/>
      <c r="G137" s="229"/>
      <c r="H137" s="229"/>
      <c r="AA137" s="7"/>
      <c r="AB137" s="7"/>
      <c r="AC137" s="7"/>
      <c r="AD137" s="7"/>
      <c r="AE137" s="7"/>
      <c r="AF137" s="7"/>
      <c r="AG137" s="7"/>
      <c r="AH137" s="7"/>
      <c r="AI137" s="7"/>
      <c r="AJ137" s="7"/>
      <c r="AK137" s="7"/>
      <c r="AS137" s="80"/>
      <c r="AV137" s="7"/>
    </row>
    <row r="138" spans="2:48" ht="18" customHeight="1">
      <c r="B138" s="35">
        <v>2015</v>
      </c>
      <c r="C138" s="228">
        <f>AP109+AQ109+AS109</f>
        <v>8</v>
      </c>
      <c r="D138" s="228">
        <f>AP110+AQ110+AS110</f>
        <v>5</v>
      </c>
      <c r="E138" s="228">
        <f>AP111+AQ111+AS111</f>
        <v>15</v>
      </c>
      <c r="F138" s="228">
        <f>AP112+AQ112+AS112</f>
        <v>30</v>
      </c>
      <c r="G138" s="228">
        <f>AP113+AQ113+AS113</f>
        <v>23</v>
      </c>
      <c r="H138" s="228">
        <f>AP114+AQ114+AS114</f>
        <v>81</v>
      </c>
      <c r="AA138" s="7"/>
      <c r="AB138" s="7"/>
      <c r="AC138" s="7"/>
      <c r="AD138" s="7"/>
      <c r="AE138" s="7"/>
      <c r="AF138" s="7"/>
      <c r="AG138" s="7"/>
      <c r="AH138" s="7"/>
      <c r="AI138" s="7"/>
      <c r="AJ138" s="7"/>
      <c r="AK138" s="7"/>
      <c r="AV138" s="7"/>
    </row>
    <row r="139" spans="2:48" ht="18" customHeight="1">
      <c r="B139" s="35">
        <v>2020</v>
      </c>
      <c r="C139" s="228">
        <f>SUM(AB101,AF101,AH101)</f>
        <v>2</v>
      </c>
      <c r="D139" s="228">
        <f>SUM(AB102,AF102,AH102)</f>
        <v>-4</v>
      </c>
      <c r="E139" s="228">
        <f>SUM(AB103,AF103,AH103)</f>
        <v>22</v>
      </c>
      <c r="F139" s="228">
        <f>SUM(AB104,AF104,AH104)</f>
        <v>13</v>
      </c>
      <c r="G139" s="228">
        <f>SUM(AB105,AF105,AH105)</f>
        <v>41</v>
      </c>
      <c r="H139" s="228">
        <f>SUM(AB106,AF106,AH106)</f>
        <v>74</v>
      </c>
      <c r="AA139" s="7"/>
      <c r="AB139" s="7"/>
      <c r="AC139" s="7"/>
      <c r="AD139" s="7"/>
      <c r="AE139" s="7"/>
      <c r="AF139" s="7"/>
      <c r="AG139" s="7"/>
      <c r="AH139" s="7"/>
      <c r="AI139" s="7"/>
      <c r="AJ139" s="7"/>
      <c r="AK139" s="7"/>
      <c r="AV139" s="7"/>
    </row>
    <row r="140" spans="2:48" ht="18" customHeight="1">
      <c r="B140" s="224" t="str">
        <f>AQ117</f>
        <v>White</v>
      </c>
      <c r="C140" s="229"/>
      <c r="D140" s="229"/>
      <c r="E140" s="229"/>
      <c r="F140" s="229"/>
      <c r="G140" s="229"/>
      <c r="H140" s="229"/>
      <c r="AA140" s="7"/>
      <c r="AB140" s="7"/>
      <c r="AC140" s="7"/>
      <c r="AD140" s="7"/>
      <c r="AE140" s="7"/>
      <c r="AF140" s="7"/>
      <c r="AG140" s="7"/>
      <c r="AH140" s="7"/>
      <c r="AI140" s="7"/>
      <c r="AJ140" s="7"/>
      <c r="AK140" s="7"/>
      <c r="AV140" s="7"/>
    </row>
    <row r="141" spans="2:48" ht="18" customHeight="1">
      <c r="B141" s="35">
        <v>2015</v>
      </c>
      <c r="C141" s="228">
        <f>AR109</f>
        <v>85</v>
      </c>
      <c r="D141" s="228">
        <f>AR110</f>
        <v>110</v>
      </c>
      <c r="E141" s="228">
        <f>AR111</f>
        <v>145</v>
      </c>
      <c r="F141" s="228">
        <f>AR112</f>
        <v>65</v>
      </c>
      <c r="G141" s="228">
        <f>AR113</f>
        <v>270</v>
      </c>
      <c r="H141" s="228">
        <f>AR114</f>
        <v>675</v>
      </c>
      <c r="S141" s="86"/>
      <c r="T141" s="86"/>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31">
        <v>2020</v>
      </c>
      <c r="C142" s="232">
        <f>AG101</f>
        <v>59</v>
      </c>
      <c r="D142" s="232">
        <f>AG102</f>
        <v>110</v>
      </c>
      <c r="E142" s="232">
        <f>AG103</f>
        <v>84</v>
      </c>
      <c r="F142" s="232">
        <f>AG104</f>
        <v>120</v>
      </c>
      <c r="G142" s="232">
        <f>AG105</f>
        <v>174</v>
      </c>
      <c r="H142" s="232">
        <f>AG106</f>
        <v>547</v>
      </c>
      <c r="T142" s="86"/>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37" t="s">
        <v>564</v>
      </c>
      <c r="C143" s="337"/>
      <c r="D143" s="337"/>
      <c r="E143" s="337"/>
      <c r="F143" s="337"/>
      <c r="G143" s="337"/>
      <c r="H143" s="230"/>
      <c r="T143" s="86"/>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38"/>
      <c r="C144" s="338"/>
      <c r="D144" s="338"/>
      <c r="E144" s="338"/>
      <c r="F144" s="338"/>
      <c r="G144" s="338"/>
      <c r="H144" s="139"/>
      <c r="T144" s="86"/>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39"/>
      <c r="D145" s="139"/>
      <c r="E145" s="139"/>
      <c r="F145" s="139"/>
      <c r="G145" s="139"/>
      <c r="H145" s="139"/>
      <c r="T145" s="86"/>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34" t="str">
        <f>"Table 8. "&amp;City_label&amp;" five year change in distribution of households by income and race, 2014 - 2019"</f>
        <v>Table 8. Algona five year change in distribution of households by income and race, 2014 - 2019</v>
      </c>
      <c r="C146" s="334"/>
      <c r="D146" s="334"/>
      <c r="E146" s="334"/>
      <c r="F146" s="334"/>
      <c r="G146" s="334"/>
      <c r="H146" s="139"/>
      <c r="T146" s="86"/>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35"/>
      <c r="C147" s="335"/>
      <c r="D147" s="335"/>
      <c r="E147" s="335"/>
      <c r="F147" s="335"/>
      <c r="G147" s="33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43"/>
      <c r="C148" s="340" t="s">
        <v>699</v>
      </c>
      <c r="D148" s="340" t="s">
        <v>457</v>
      </c>
      <c r="E148" s="340" t="s">
        <v>485</v>
      </c>
      <c r="F148" s="340" t="s">
        <v>510</v>
      </c>
      <c r="G148" s="340" t="s">
        <v>536</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44"/>
      <c r="C149" s="341"/>
      <c r="D149" s="341"/>
      <c r="E149" s="341"/>
      <c r="F149" s="341"/>
      <c r="G149" s="34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45"/>
      <c r="C150" s="342"/>
      <c r="D150" s="342"/>
      <c r="E150" s="342"/>
      <c r="F150" s="342"/>
      <c r="G150" s="34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24" t="s">
        <v>279</v>
      </c>
      <c r="C151" s="225"/>
      <c r="D151" s="226"/>
      <c r="E151" s="226"/>
      <c r="F151" s="226"/>
      <c r="G151" s="226"/>
      <c r="R151" s="82"/>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35">
        <v>2015</v>
      </c>
      <c r="C152" s="258">
        <f>IFERROR(C126/$H126,"0"%)</f>
        <v>0.14712153518123666</v>
      </c>
      <c r="D152" s="258">
        <f t="shared" ref="D152:F153" si="53">IFERROR(D126/$H126,"0"%)</f>
        <v>0.20255863539445629</v>
      </c>
      <c r="E152" s="258">
        <f t="shared" si="53"/>
        <v>0.17590618336886993</v>
      </c>
      <c r="F152" s="258">
        <f t="shared" si="53"/>
        <v>0.14925373134328357</v>
      </c>
      <c r="G152" s="258">
        <f>G126/$H126</f>
        <v>0.3251599147121535</v>
      </c>
      <c r="S152" s="82"/>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35">
        <v>2020</v>
      </c>
      <c r="C153" s="258">
        <f>IFERROR(C127/$H127,"0"%)</f>
        <v>0.11453744493392071</v>
      </c>
      <c r="D153" s="258">
        <f t="shared" si="53"/>
        <v>0.18612334801762115</v>
      </c>
      <c r="E153" s="258">
        <f t="shared" si="53"/>
        <v>0.15969162995594713</v>
      </c>
      <c r="F153" s="258">
        <f t="shared" si="53"/>
        <v>0.18171806167400881</v>
      </c>
      <c r="G153" s="258">
        <f>G127/$H127</f>
        <v>0.35792951541850221</v>
      </c>
      <c r="T153" s="82"/>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24" t="s">
        <v>145</v>
      </c>
      <c r="C154" s="229"/>
      <c r="D154" s="229"/>
      <c r="E154" s="229"/>
      <c r="F154" s="229"/>
      <c r="G154" s="229"/>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35">
        <v>2015</v>
      </c>
      <c r="C155" s="258">
        <f t="shared" ref="C155:G156" si="54">IFERROR(C129/$H129,"0"%)</f>
        <v>0.21875</v>
      </c>
      <c r="D155" s="258">
        <f t="shared" si="54"/>
        <v>0.3125</v>
      </c>
      <c r="E155" s="258">
        <f t="shared" si="54"/>
        <v>0.15625</v>
      </c>
      <c r="F155" s="258">
        <f t="shared" si="54"/>
        <v>0.3125</v>
      </c>
      <c r="G155" s="258">
        <f t="shared" si="54"/>
        <v>0</v>
      </c>
      <c r="Q155" s="82"/>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35">
        <v>2020</v>
      </c>
      <c r="C156" s="258">
        <f t="shared" si="54"/>
        <v>0.18181818181818182</v>
      </c>
      <c r="D156" s="258">
        <f t="shared" si="54"/>
        <v>0.18181818181818182</v>
      </c>
      <c r="E156" s="258">
        <f t="shared" si="54"/>
        <v>7.575757575757576E-2</v>
      </c>
      <c r="F156" s="258">
        <f t="shared" si="54"/>
        <v>0.10606060606060606</v>
      </c>
      <c r="G156" s="258">
        <f t="shared" si="54"/>
        <v>0.45454545454545453</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24" t="s">
        <v>139</v>
      </c>
      <c r="C157" s="229"/>
      <c r="D157" s="229"/>
      <c r="E157" s="229"/>
      <c r="F157" s="229"/>
      <c r="G157" s="229"/>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35">
        <v>2015</v>
      </c>
      <c r="C158" s="258">
        <f t="shared" ref="C158:G159" si="55">IFERROR(C132/$H132,"0"%)</f>
        <v>0.7142857142857143</v>
      </c>
      <c r="D158" s="258">
        <f t="shared" si="55"/>
        <v>0</v>
      </c>
      <c r="E158" s="258">
        <f t="shared" si="55"/>
        <v>0</v>
      </c>
      <c r="F158" s="258">
        <f t="shared" si="55"/>
        <v>0</v>
      </c>
      <c r="G158" s="258">
        <f t="shared" si="55"/>
        <v>0.2857142857142857</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35">
        <v>2020</v>
      </c>
      <c r="C159" s="258">
        <f t="shared" si="55"/>
        <v>0</v>
      </c>
      <c r="D159" s="258">
        <f t="shared" si="55"/>
        <v>0.61403508771929827</v>
      </c>
      <c r="E159" s="258">
        <f t="shared" si="55"/>
        <v>7.0175438596491224E-2</v>
      </c>
      <c r="F159" s="258">
        <f t="shared" si="55"/>
        <v>0.14035087719298245</v>
      </c>
      <c r="G159" s="258">
        <f t="shared" si="55"/>
        <v>0.17543859649122806</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24" t="s">
        <v>157</v>
      </c>
      <c r="C160" s="229"/>
      <c r="D160" s="229"/>
      <c r="E160" s="229"/>
      <c r="F160" s="229"/>
      <c r="G160" s="229"/>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35">
        <v>2015</v>
      </c>
      <c r="C161" s="258">
        <f t="shared" ref="C161:G162" si="56">IFERROR(C135/$H135,"0"%)</f>
        <v>0.16666666666666666</v>
      </c>
      <c r="D161" s="258">
        <f t="shared" si="56"/>
        <v>0.45833333333333331</v>
      </c>
      <c r="E161" s="258">
        <f t="shared" si="56"/>
        <v>0</v>
      </c>
      <c r="F161" s="258">
        <f t="shared" si="56"/>
        <v>0.29166666666666669</v>
      </c>
      <c r="G161" s="258">
        <f t="shared" si="56"/>
        <v>8.3333333333333329E-2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35">
        <v>2020</v>
      </c>
      <c r="C162" s="258">
        <f t="shared" si="56"/>
        <v>0.19387755102040816</v>
      </c>
      <c r="D162" s="258">
        <f t="shared" si="56"/>
        <v>4.0816326530612242E-2</v>
      </c>
      <c r="E162" s="258">
        <f t="shared" si="56"/>
        <v>0.25510204081632654</v>
      </c>
      <c r="F162" s="258">
        <f t="shared" si="56"/>
        <v>0.10204081632653061</v>
      </c>
      <c r="G162" s="258">
        <f t="shared" si="56"/>
        <v>0.40816326530612246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24" t="s">
        <v>151</v>
      </c>
      <c r="C163" s="229"/>
      <c r="D163" s="229"/>
      <c r="E163" s="229"/>
      <c r="F163" s="229"/>
      <c r="G163" s="229"/>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35">
        <v>2015</v>
      </c>
      <c r="C164" s="258">
        <f t="shared" ref="C164:G165" si="57">IFERROR(C138/$H138,"0"%)</f>
        <v>9.8765432098765427E-2</v>
      </c>
      <c r="D164" s="258">
        <f t="shared" si="57"/>
        <v>6.1728395061728392E-2</v>
      </c>
      <c r="E164" s="258">
        <f t="shared" si="57"/>
        <v>0.18518518518518517</v>
      </c>
      <c r="F164" s="258">
        <f t="shared" si="57"/>
        <v>0.37037037037037035</v>
      </c>
      <c r="G164" s="258">
        <f t="shared" si="57"/>
        <v>0.2839506172839506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35">
        <v>2020</v>
      </c>
      <c r="C165" s="258">
        <f t="shared" si="57"/>
        <v>2.7027027027027029E-2</v>
      </c>
      <c r="D165" s="258">
        <f t="shared" si="57"/>
        <v>-5.4054054054054057E-2</v>
      </c>
      <c r="E165" s="258">
        <f t="shared" si="57"/>
        <v>0.29729729729729731</v>
      </c>
      <c r="F165" s="258">
        <f t="shared" si="57"/>
        <v>0.17567567567567569</v>
      </c>
      <c r="G165" s="258">
        <f t="shared" si="57"/>
        <v>0.55405405405405406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24" t="s">
        <v>136</v>
      </c>
      <c r="C166" s="229"/>
      <c r="D166" s="229"/>
      <c r="E166" s="229"/>
      <c r="F166" s="229"/>
      <c r="G166" s="229"/>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35">
        <v>2015</v>
      </c>
      <c r="C167" s="258">
        <f t="shared" ref="C167:G168" si="58">IFERROR(C141/$H141,"0"%)</f>
        <v>0.12592592592592591</v>
      </c>
      <c r="D167" s="258">
        <f t="shared" si="58"/>
        <v>0.16296296296296298</v>
      </c>
      <c r="E167" s="258">
        <f t="shared" si="58"/>
        <v>0.21481481481481482</v>
      </c>
      <c r="F167" s="258">
        <f t="shared" si="58"/>
        <v>9.6296296296296297E-2</v>
      </c>
      <c r="G167" s="258">
        <f t="shared" si="58"/>
        <v>0.4</v>
      </c>
      <c r="K167" s="121"/>
      <c r="L167" s="121"/>
      <c r="M167" s="121"/>
      <c r="N167" s="121"/>
      <c r="O167" s="121"/>
      <c r="P167" s="121"/>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31">
        <v>2020</v>
      </c>
      <c r="C168" s="258">
        <f t="shared" si="58"/>
        <v>0.10786106032906764</v>
      </c>
      <c r="D168" s="258">
        <f t="shared" si="58"/>
        <v>0.20109689213893966</v>
      </c>
      <c r="E168" s="258">
        <f t="shared" si="58"/>
        <v>0.15356489945155394</v>
      </c>
      <c r="F168" s="258">
        <f t="shared" si="58"/>
        <v>0.21937842778793418</v>
      </c>
      <c r="G168" s="258">
        <f t="shared" si="58"/>
        <v>0.31809872029250458</v>
      </c>
      <c r="K168" s="121"/>
      <c r="L168" s="121"/>
      <c r="M168" s="121"/>
      <c r="N168" s="121"/>
      <c r="O168" s="121"/>
      <c r="P168" s="121"/>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39" t="s">
        <v>564</v>
      </c>
      <c r="C169" s="339"/>
      <c r="D169" s="339"/>
      <c r="E169" s="339"/>
      <c r="F169" s="339"/>
      <c r="G169" s="339"/>
      <c r="H169" s="175"/>
      <c r="I169" s="175"/>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38"/>
      <c r="C170" s="338"/>
      <c r="D170" s="338"/>
      <c r="E170" s="338"/>
      <c r="F170" s="338"/>
      <c r="G170" s="338"/>
      <c r="H170" s="175"/>
      <c r="I170" s="175"/>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33" t="str">
        <f>"Chart 15. "&amp;City_label&amp;" percentage of all households by income category and race, (2010 - 2014 vs 2015 - 2019)"</f>
        <v>Chart 15. Algona percentage of all households by income category and race, (2010 - 2014 vs 2015 - 2019)</v>
      </c>
      <c r="C172" s="333"/>
      <c r="D172" s="333"/>
      <c r="E172" s="333"/>
      <c r="F172" s="333"/>
      <c r="G172" s="333"/>
      <c r="H172" s="333"/>
      <c r="I172" s="333"/>
      <c r="J172" s="33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33"/>
      <c r="C173" s="333"/>
      <c r="D173" s="333"/>
      <c r="E173" s="333"/>
      <c r="F173" s="333"/>
      <c r="G173" s="333"/>
      <c r="H173" s="333"/>
      <c r="I173" s="333"/>
      <c r="J173" s="33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77" t="s">
        <v>564</v>
      </c>
      <c r="C211" s="276"/>
      <c r="D211" s="276"/>
      <c r="E211" s="276"/>
      <c r="F211" s="276"/>
      <c r="G211" s="276"/>
      <c r="H211" s="276"/>
      <c r="I211" s="276"/>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76"/>
      <c r="C212" s="276"/>
      <c r="D212" s="276"/>
      <c r="E212" s="276"/>
      <c r="F212" s="276"/>
      <c r="G212" s="276"/>
      <c r="H212" s="276"/>
      <c r="I212" s="276"/>
      <c r="AD212" s="7"/>
      <c r="AE212" s="7"/>
      <c r="AF212" s="7"/>
      <c r="AG212" s="7"/>
      <c r="AH212" s="7"/>
      <c r="AI212" s="7"/>
      <c r="AJ212" s="7"/>
      <c r="AK212" s="7"/>
      <c r="AL212" s="7"/>
      <c r="AM212" s="7"/>
      <c r="AN212" s="7"/>
      <c r="AO212" s="7"/>
      <c r="AP212" s="7"/>
      <c r="AQ212" s="7"/>
      <c r="AR212" s="7"/>
      <c r="AS212" s="7"/>
      <c r="AT212" s="7"/>
      <c r="AU212" s="7"/>
      <c r="AV212" s="82"/>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83"/>
      <c r="AC214" s="86"/>
      <c r="AD214" s="83"/>
      <c r="AE214" s="7"/>
      <c r="AF214" s="17"/>
      <c r="AG214" s="7"/>
      <c r="AH214" s="7"/>
      <c r="AI214" s="7"/>
      <c r="AJ214" s="7"/>
      <c r="AK214" s="7"/>
      <c r="AL214" s="7"/>
      <c r="AM214" s="7"/>
      <c r="AN214" s="7"/>
      <c r="AO214" s="7"/>
      <c r="AP214" s="7"/>
      <c r="AQ214" s="7"/>
      <c r="AR214" s="7"/>
      <c r="AS214" s="7"/>
      <c r="AT214" s="7"/>
      <c r="AU214" s="7"/>
      <c r="AV214" s="136"/>
    </row>
    <row r="215" spans="2:48" ht="13.9" customHeight="1">
      <c r="AB215" s="83"/>
      <c r="AC215" s="86"/>
      <c r="AD215" s="83"/>
      <c r="AE215" s="7"/>
      <c r="AF215" s="17"/>
      <c r="AG215" s="7"/>
      <c r="AH215" s="7"/>
      <c r="AI215" s="7"/>
      <c r="AJ215" s="7"/>
      <c r="AK215" s="7"/>
      <c r="AL215" s="7"/>
      <c r="AM215" s="7"/>
      <c r="AN215" s="7"/>
      <c r="AO215" s="7"/>
      <c r="AP215" s="7"/>
      <c r="AQ215" s="7"/>
      <c r="AR215" s="7"/>
      <c r="AS215" s="7"/>
      <c r="AT215" s="7"/>
      <c r="AU215" s="7"/>
      <c r="AV215" s="136"/>
    </row>
    <row r="216" spans="2:48" ht="13.9" customHeight="1">
      <c r="AB216" s="83"/>
      <c r="AC216" s="86"/>
      <c r="AD216" s="83"/>
      <c r="AE216" s="7"/>
      <c r="AF216" s="17"/>
      <c r="AG216" s="7"/>
      <c r="AH216" s="7"/>
      <c r="AI216" s="7"/>
      <c r="AJ216" s="7"/>
      <c r="AK216" s="7"/>
      <c r="AL216" s="7"/>
      <c r="AM216" s="7"/>
      <c r="AN216" s="7"/>
      <c r="AO216" s="7"/>
      <c r="AP216" s="7"/>
      <c r="AQ216" s="7"/>
      <c r="AR216" s="7"/>
      <c r="AS216" s="7"/>
      <c r="AT216" s="7"/>
      <c r="AU216" s="7"/>
      <c r="AV216" s="136"/>
    </row>
    <row r="217" spans="2:48" ht="13.9" customHeight="1">
      <c r="AB217" s="83"/>
      <c r="AC217" s="86"/>
      <c r="AD217" s="83"/>
      <c r="AE217" s="7"/>
      <c r="AF217" s="17"/>
      <c r="AG217" s="7"/>
      <c r="AH217" s="7"/>
      <c r="AI217" s="7"/>
      <c r="AJ217" s="7"/>
      <c r="AK217" s="7"/>
      <c r="AL217" s="7"/>
      <c r="AM217" s="7"/>
      <c r="AN217" s="7"/>
      <c r="AO217" s="7"/>
      <c r="AP217" s="7"/>
      <c r="AQ217" s="7"/>
      <c r="AR217" s="7"/>
      <c r="AS217" s="7"/>
      <c r="AT217" s="7"/>
      <c r="AU217" s="7"/>
      <c r="AV217" s="136"/>
    </row>
    <row r="218" spans="2:48" ht="13.9" customHeight="1">
      <c r="AB218" s="83"/>
      <c r="AC218" s="86"/>
      <c r="AD218" s="83"/>
      <c r="AE218" s="7"/>
      <c r="AF218" s="17"/>
      <c r="AG218" s="7"/>
      <c r="AH218" s="7"/>
      <c r="AI218" s="7"/>
      <c r="AJ218" s="7"/>
      <c r="AK218" s="7"/>
      <c r="AL218" s="7"/>
      <c r="AM218" s="7"/>
      <c r="AN218" s="7"/>
      <c r="AO218" s="7"/>
      <c r="AP218" s="7"/>
      <c r="AQ218" s="7"/>
      <c r="AR218" s="7"/>
      <c r="AS218" s="7"/>
      <c r="AT218" s="7"/>
      <c r="AU218" s="7"/>
      <c r="AV218" s="136"/>
    </row>
    <row r="219" spans="2:48" ht="13.9" customHeight="1">
      <c r="AB219" s="83"/>
      <c r="AC219" s="86"/>
      <c r="AD219" s="83"/>
      <c r="AE219" s="7"/>
      <c r="AF219" s="17"/>
      <c r="AG219" s="7"/>
      <c r="AH219" s="7"/>
      <c r="AI219" s="7"/>
      <c r="AJ219" s="7"/>
      <c r="AK219" s="7"/>
      <c r="AL219" s="7"/>
      <c r="AM219" s="7"/>
      <c r="AN219" s="7"/>
      <c r="AO219" s="7"/>
      <c r="AP219" s="7"/>
      <c r="AQ219" s="7"/>
      <c r="AR219" s="7"/>
      <c r="AS219" s="7"/>
      <c r="AT219" s="7"/>
      <c r="AU219" s="7"/>
      <c r="AV219" s="136"/>
    </row>
    <row r="220" spans="2:48" ht="13.9" customHeight="1">
      <c r="AB220" s="83"/>
      <c r="AC220" s="86"/>
      <c r="AD220" s="83"/>
      <c r="AE220" s="7"/>
      <c r="AF220" s="17"/>
      <c r="AG220" s="7"/>
      <c r="AH220" s="7"/>
      <c r="AI220" s="7"/>
      <c r="AJ220" s="7"/>
      <c r="AK220" s="7"/>
      <c r="AL220" s="7"/>
      <c r="AM220" s="7"/>
      <c r="AN220" s="7"/>
      <c r="AO220" s="7"/>
      <c r="AP220" s="7"/>
      <c r="AQ220" s="7"/>
      <c r="AR220" s="7"/>
      <c r="AS220" s="7"/>
      <c r="AT220" s="7"/>
      <c r="AU220" s="7"/>
      <c r="AV220" s="136"/>
    </row>
    <row r="221" spans="2:48" ht="13.9" customHeight="1">
      <c r="AB221" s="83"/>
      <c r="AC221" s="86"/>
      <c r="AD221" s="83"/>
      <c r="AE221" s="7"/>
      <c r="AF221" s="17"/>
      <c r="AG221" s="7"/>
      <c r="AH221" s="7"/>
      <c r="AI221" s="7"/>
      <c r="AJ221" s="7"/>
      <c r="AK221" s="7"/>
      <c r="AL221" s="7"/>
      <c r="AM221" s="7"/>
      <c r="AN221" s="7"/>
      <c r="AO221" s="7"/>
      <c r="AP221" s="7"/>
      <c r="AQ221" s="7"/>
      <c r="AR221" s="7"/>
      <c r="AS221" s="7"/>
      <c r="AT221" s="7"/>
      <c r="AU221" s="7"/>
      <c r="AV221" s="136"/>
    </row>
    <row r="222" spans="2:48" ht="13.9" customHeight="1">
      <c r="AB222" s="83"/>
      <c r="AC222" s="83"/>
      <c r="AD222" s="83"/>
      <c r="AE222" s="7"/>
      <c r="AF222" s="17"/>
      <c r="AG222" s="7"/>
      <c r="AH222" s="7"/>
      <c r="AI222" s="7"/>
      <c r="AJ222" s="7"/>
      <c r="AK222" s="7"/>
      <c r="AL222" s="7"/>
      <c r="AM222" s="7"/>
      <c r="AN222" s="7"/>
      <c r="AO222" s="7"/>
      <c r="AP222" s="7"/>
      <c r="AQ222" s="7"/>
      <c r="AR222" s="7"/>
      <c r="AS222" s="7"/>
      <c r="AT222" s="7"/>
      <c r="AU222" s="7"/>
      <c r="AV222" s="136"/>
    </row>
    <row r="223" spans="2:48" ht="13.9" customHeight="1">
      <c r="AA223" s="7"/>
      <c r="AB223" s="82"/>
      <c r="AC223" s="84"/>
      <c r="AD223" s="82"/>
      <c r="AE223" s="7"/>
      <c r="AF223" s="84"/>
      <c r="AG223" s="82"/>
      <c r="AH223" s="82"/>
      <c r="AI223" s="7"/>
      <c r="AJ223" s="7"/>
      <c r="AK223" s="7"/>
      <c r="AL223" s="7"/>
      <c r="AM223" s="7"/>
      <c r="AN223" s="7"/>
      <c r="AO223" s="7"/>
      <c r="AP223" s="7"/>
      <c r="AQ223" s="7"/>
      <c r="AR223" s="7"/>
      <c r="AS223" s="7"/>
      <c r="AT223" s="7"/>
      <c r="AU223" s="7"/>
      <c r="AV223" s="136"/>
    </row>
    <row r="224" spans="2:48" ht="13.9" customHeight="1">
      <c r="AA224" s="7"/>
      <c r="AB224" s="82"/>
      <c r="AC224" s="82"/>
      <c r="AD224" s="82"/>
      <c r="AE224" s="7"/>
      <c r="AF224" s="82"/>
      <c r="AG224" s="7"/>
      <c r="AH224" s="7"/>
      <c r="AI224" s="7"/>
      <c r="AJ224" s="7"/>
      <c r="AK224" s="7"/>
      <c r="AL224" s="7"/>
      <c r="AM224" s="7"/>
      <c r="AN224" s="7"/>
      <c r="AO224" s="7"/>
      <c r="AP224" s="7"/>
      <c r="AQ224" s="7"/>
      <c r="AR224" s="7"/>
      <c r="AS224" s="7"/>
      <c r="AT224" s="7"/>
      <c r="AU224" s="7"/>
      <c r="AV224" s="136"/>
    </row>
    <row r="225" spans="27:48" ht="13.9" customHeight="1">
      <c r="AB225" s="82"/>
      <c r="AC225" s="84"/>
      <c r="AD225" s="85"/>
      <c r="AE225" s="7"/>
      <c r="AF225" s="84"/>
      <c r="AG225" s="85"/>
      <c r="AH225" s="85"/>
      <c r="AI225" s="7"/>
      <c r="AJ225" s="7"/>
      <c r="AK225" s="7"/>
      <c r="AL225" s="7"/>
      <c r="AM225" s="7"/>
      <c r="AN225" s="7"/>
      <c r="AO225" s="7"/>
      <c r="AP225" s="7"/>
      <c r="AQ225" s="7"/>
      <c r="AR225" s="7"/>
      <c r="AS225" s="7"/>
      <c r="AT225" s="7"/>
      <c r="AU225" s="7"/>
      <c r="AV225" s="136"/>
    </row>
    <row r="226" spans="27:48" ht="13.9" customHeight="1">
      <c r="AB226" s="82"/>
      <c r="AC226" s="84"/>
      <c r="AD226" s="85"/>
      <c r="AE226" s="7"/>
      <c r="AF226" s="84"/>
      <c r="AG226" s="85"/>
      <c r="AH226" s="85"/>
      <c r="AI226" s="7"/>
      <c r="AJ226" s="7"/>
      <c r="AK226" s="7"/>
      <c r="AL226" s="7"/>
      <c r="AM226" s="7"/>
      <c r="AN226" s="7"/>
      <c r="AO226" s="7"/>
      <c r="AP226" s="7"/>
      <c r="AQ226" s="7"/>
      <c r="AR226" s="7"/>
      <c r="AS226" s="7"/>
      <c r="AT226" s="7"/>
      <c r="AU226" s="7"/>
      <c r="AV226" s="7"/>
    </row>
    <row r="227" spans="27:48" ht="13.9" customHeight="1">
      <c r="AB227" s="82"/>
      <c r="AC227" s="84"/>
      <c r="AD227" s="85"/>
      <c r="AE227" s="7"/>
      <c r="AF227" s="84"/>
      <c r="AG227" s="85"/>
      <c r="AH227" s="85"/>
      <c r="AI227" s="7"/>
      <c r="AJ227" s="7"/>
      <c r="AK227" s="7"/>
      <c r="AL227" s="7"/>
      <c r="AM227" s="7"/>
      <c r="AN227" s="7"/>
      <c r="AO227" s="7"/>
      <c r="AP227" s="7"/>
      <c r="AQ227" s="7"/>
      <c r="AR227" s="7"/>
      <c r="AS227" s="7"/>
      <c r="AT227" s="7"/>
      <c r="AU227" s="7"/>
      <c r="AV227" s="7"/>
    </row>
    <row r="228" spans="27:48" ht="13.9" customHeight="1">
      <c r="AB228" s="82"/>
      <c r="AC228" s="84"/>
      <c r="AD228" s="85"/>
      <c r="AE228" s="7"/>
      <c r="AF228" s="84"/>
      <c r="AG228" s="85"/>
      <c r="AH228" s="85"/>
      <c r="AI228" s="7"/>
      <c r="AJ228" s="7"/>
      <c r="AK228" s="7"/>
      <c r="AL228" s="7"/>
      <c r="AM228" s="7"/>
      <c r="AN228" s="7"/>
      <c r="AO228" s="7"/>
      <c r="AP228" s="7"/>
      <c r="AQ228" s="7"/>
      <c r="AR228" s="7"/>
      <c r="AS228" s="7"/>
      <c r="AT228" s="7"/>
      <c r="AU228" s="7"/>
      <c r="AV228" s="7"/>
    </row>
    <row r="229" spans="27:48" ht="13.9" customHeight="1">
      <c r="AB229" s="82"/>
      <c r="AC229" s="84"/>
      <c r="AD229" s="85"/>
      <c r="AE229" s="7"/>
      <c r="AF229" s="84"/>
      <c r="AG229" s="85"/>
      <c r="AH229" s="85"/>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82"/>
      <c r="AM231" s="82"/>
      <c r="AN231" s="82"/>
      <c r="AO231" s="82"/>
      <c r="AP231" s="82"/>
      <c r="AQ231" s="82"/>
      <c r="AR231" s="82"/>
      <c r="AS231" s="82"/>
      <c r="AT231" s="82"/>
      <c r="AU231" s="82"/>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59"/>
      <c r="AF233" s="7"/>
      <c r="AG233" s="7"/>
      <c r="AH233" s="7"/>
      <c r="AI233" s="7"/>
      <c r="AJ233" s="7"/>
      <c r="AK233" s="7"/>
      <c r="AL233" s="85"/>
      <c r="AM233" s="85"/>
      <c r="AN233" s="85"/>
      <c r="AO233" s="85"/>
      <c r="AP233" s="85"/>
      <c r="AQ233" s="85"/>
      <c r="AR233" s="85"/>
      <c r="AS233" s="85"/>
      <c r="AT233" s="85"/>
      <c r="AU233" s="85"/>
      <c r="AV233" s="7"/>
    </row>
    <row r="234" spans="27:48" ht="13.9" customHeight="1">
      <c r="AA234" s="7"/>
      <c r="AE234" s="7"/>
      <c r="AF234" s="7"/>
      <c r="AG234" s="7"/>
      <c r="AH234" s="7"/>
      <c r="AI234" s="7"/>
      <c r="AJ234" s="7"/>
      <c r="AK234" s="7"/>
      <c r="AL234" s="85"/>
      <c r="AM234" s="85"/>
      <c r="AN234" s="85"/>
      <c r="AO234" s="85"/>
      <c r="AP234" s="85"/>
      <c r="AQ234" s="85"/>
      <c r="AR234" s="85"/>
      <c r="AS234" s="85"/>
      <c r="AT234" s="85"/>
      <c r="AU234" s="85"/>
      <c r="AV234" s="7"/>
    </row>
    <row r="235" spans="27:48" ht="13.9" customHeight="1">
      <c r="AE235" s="7"/>
      <c r="AF235" s="7"/>
      <c r="AG235" s="7"/>
      <c r="AH235" s="7"/>
      <c r="AI235" s="7"/>
      <c r="AJ235" s="7"/>
      <c r="AK235" s="7"/>
      <c r="AL235" s="85"/>
      <c r="AM235" s="85"/>
      <c r="AN235" s="85"/>
      <c r="AO235" s="85"/>
      <c r="AP235" s="85"/>
      <c r="AQ235" s="85"/>
      <c r="AR235" s="85"/>
      <c r="AS235" s="85"/>
      <c r="AT235" s="85"/>
      <c r="AU235" s="85"/>
      <c r="AV235" s="7"/>
    </row>
    <row r="236" spans="27:48" ht="13.9" customHeight="1">
      <c r="AE236" s="7"/>
      <c r="AF236" s="7"/>
      <c r="AG236" s="7"/>
      <c r="AH236" s="7"/>
      <c r="AI236" s="7"/>
      <c r="AJ236" s="7"/>
      <c r="AK236" s="7"/>
      <c r="AL236" s="85"/>
      <c r="AM236" s="85"/>
      <c r="AN236" s="85"/>
      <c r="AO236" s="85"/>
      <c r="AP236" s="85"/>
      <c r="AQ236" s="85"/>
      <c r="AR236" s="85"/>
      <c r="AS236" s="85"/>
      <c r="AT236" s="85"/>
      <c r="AU236" s="85"/>
      <c r="AV236" s="7"/>
    </row>
    <row r="237" spans="27:48" ht="13.9" customHeight="1">
      <c r="AE237" s="7"/>
      <c r="AF237" s="7"/>
      <c r="AG237" s="7"/>
      <c r="AH237" s="7"/>
      <c r="AI237" s="7"/>
      <c r="AJ237" s="7"/>
      <c r="AK237" s="7"/>
      <c r="AL237" s="85"/>
      <c r="AM237" s="85"/>
      <c r="AN237" s="85"/>
      <c r="AO237" s="85"/>
      <c r="AP237" s="85"/>
      <c r="AQ237" s="85"/>
      <c r="AR237" s="85"/>
      <c r="AS237" s="85"/>
      <c r="AT237" s="85"/>
      <c r="AU237" s="85"/>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21"/>
    </row>
    <row r="253" spans="31:48" ht="13.9" customHeight="1">
      <c r="AE253" s="7"/>
      <c r="AF253" s="82"/>
      <c r="AG253" s="82"/>
      <c r="AH253" s="82"/>
      <c r="AI253" s="85"/>
      <c r="AJ253" s="82"/>
      <c r="AK253" s="7"/>
      <c r="AL253" s="7"/>
      <c r="AM253" s="7"/>
      <c r="AN253" s="7"/>
      <c r="AO253" s="7"/>
      <c r="AP253" s="7"/>
      <c r="AQ253" s="7"/>
      <c r="AR253" s="7"/>
      <c r="AS253" s="7"/>
      <c r="AT253" s="7"/>
      <c r="AU253" s="7"/>
      <c r="AV253" s="121"/>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21"/>
      <c r="AF256" s="121"/>
      <c r="AG256" s="121"/>
      <c r="AH256" s="121"/>
      <c r="AI256" s="121"/>
      <c r="AJ256" s="121"/>
      <c r="AK256" s="121"/>
      <c r="AL256" s="7"/>
      <c r="AM256" s="7"/>
      <c r="AN256" s="7"/>
      <c r="AO256" s="7"/>
      <c r="AP256" s="7"/>
      <c r="AQ256" s="7"/>
      <c r="AR256" s="7"/>
      <c r="AS256" s="7"/>
      <c r="AT256" s="7"/>
      <c r="AU256" s="7"/>
      <c r="AV256" s="7"/>
    </row>
    <row r="257" spans="31:48" ht="13.9" customHeight="1">
      <c r="AE257" s="121"/>
      <c r="AF257" s="121"/>
      <c r="AG257" s="121"/>
      <c r="AH257" s="121"/>
      <c r="AI257" s="121"/>
      <c r="AJ257" s="121"/>
      <c r="AK257" s="121"/>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59"/>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21"/>
      <c r="AM264" s="121"/>
      <c r="AN264" s="121"/>
      <c r="AO264" s="121"/>
      <c r="AP264" s="121"/>
      <c r="AQ264" s="121"/>
      <c r="AR264" s="121"/>
      <c r="AS264" s="121"/>
      <c r="AT264" s="121"/>
      <c r="AU264" s="121"/>
      <c r="AV264" s="7"/>
    </row>
    <row r="265" spans="31:48" ht="13.9" customHeight="1">
      <c r="AE265" s="7"/>
      <c r="AF265" s="7"/>
      <c r="AG265" s="7"/>
      <c r="AH265" s="7"/>
      <c r="AI265" s="7"/>
      <c r="AJ265" s="7"/>
      <c r="AK265" s="7"/>
      <c r="AL265" s="121"/>
      <c r="AM265" s="121"/>
      <c r="AN265" s="121"/>
      <c r="AO265" s="121"/>
      <c r="AP265" s="121"/>
      <c r="AQ265" s="121"/>
      <c r="AR265" s="121"/>
      <c r="AS265" s="121"/>
      <c r="AT265" s="121"/>
      <c r="AU265" s="121"/>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21"/>
    </row>
    <row r="280" spans="31:48" ht="13.9" customHeight="1">
      <c r="AE280" s="7"/>
      <c r="AF280" s="7"/>
      <c r="AG280" s="7"/>
      <c r="AH280" s="7"/>
      <c r="AI280" s="7"/>
      <c r="AJ280" s="7"/>
      <c r="AK280" s="7"/>
      <c r="AL280" s="7"/>
      <c r="AM280" s="7"/>
      <c r="AN280" s="7"/>
      <c r="AO280" s="7"/>
      <c r="AP280" s="7"/>
      <c r="AQ280" s="7"/>
      <c r="AR280" s="7"/>
      <c r="AS280" s="7"/>
      <c r="AT280" s="7"/>
      <c r="AU280" s="7"/>
      <c r="AV280" s="121"/>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21"/>
      <c r="AF283" s="121"/>
      <c r="AG283" s="121"/>
      <c r="AH283" s="121"/>
      <c r="AI283" s="121"/>
      <c r="AJ283" s="121"/>
      <c r="AK283" s="121"/>
      <c r="AL283" s="7"/>
      <c r="AM283" s="7"/>
      <c r="AN283" s="7"/>
      <c r="AO283" s="7"/>
      <c r="AP283" s="7"/>
      <c r="AQ283" s="7"/>
      <c r="AR283" s="7"/>
      <c r="AS283" s="7"/>
      <c r="AT283" s="7"/>
      <c r="AU283" s="7"/>
      <c r="AV283" s="7"/>
    </row>
    <row r="284" spans="31:48" ht="13.9" customHeight="1">
      <c r="AE284" s="121"/>
      <c r="AF284" s="121"/>
      <c r="AG284" s="121"/>
      <c r="AH284" s="121"/>
      <c r="AI284" s="121"/>
      <c r="AJ284" s="121"/>
      <c r="AK284" s="121"/>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59"/>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21"/>
      <c r="AM291" s="121"/>
      <c r="AN291" s="121"/>
      <c r="AO291" s="121"/>
      <c r="AP291" s="121"/>
      <c r="AQ291" s="121"/>
      <c r="AR291" s="121"/>
      <c r="AS291" s="121"/>
      <c r="AT291" s="121"/>
      <c r="AU291" s="121"/>
      <c r="AV291" s="7"/>
    </row>
    <row r="292" spans="4:48" ht="13.9" customHeight="1">
      <c r="AE292" s="7"/>
      <c r="AF292" s="7"/>
      <c r="AG292" s="7"/>
      <c r="AH292" s="7"/>
      <c r="AI292" s="7"/>
      <c r="AJ292" s="7"/>
      <c r="AK292" s="7"/>
      <c r="AL292" s="121"/>
      <c r="AM292" s="121"/>
      <c r="AN292" s="121"/>
      <c r="AO292" s="121"/>
      <c r="AP292" s="121"/>
      <c r="AQ292" s="121"/>
      <c r="AR292" s="121"/>
      <c r="AS292" s="121"/>
      <c r="AT292" s="121"/>
      <c r="AU292" s="121"/>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1"/>
      <c r="AF300" s="81"/>
      <c r="AG300" s="81"/>
      <c r="AH300" s="81"/>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24"/>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21"/>
    </row>
    <row r="307" spans="31:48" ht="13.9" customHeight="1">
      <c r="AE307" s="7"/>
      <c r="AF307" s="7"/>
      <c r="AG307" s="7"/>
      <c r="AH307" s="7"/>
      <c r="AI307" s="7"/>
      <c r="AJ307" s="7"/>
      <c r="AK307" s="7"/>
      <c r="AL307" s="7"/>
      <c r="AM307" s="7"/>
      <c r="AN307" s="7"/>
      <c r="AO307" s="7"/>
      <c r="AP307" s="7"/>
      <c r="AQ307" s="7"/>
      <c r="AR307" s="7"/>
      <c r="AS307" s="7"/>
      <c r="AT307" s="7"/>
      <c r="AU307" s="7"/>
      <c r="AV307" s="121"/>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21"/>
      <c r="AF310" s="121"/>
      <c r="AG310" s="121"/>
      <c r="AH310" s="121"/>
      <c r="AI310" s="121"/>
      <c r="AJ310" s="121"/>
      <c r="AK310" s="121"/>
      <c r="AL310" s="7"/>
      <c r="AM310" s="7"/>
      <c r="AN310" s="7"/>
      <c r="AO310" s="7"/>
      <c r="AP310" s="7"/>
      <c r="AQ310" s="7"/>
      <c r="AR310" s="7"/>
      <c r="AS310" s="7"/>
      <c r="AT310" s="7"/>
      <c r="AU310" s="7"/>
      <c r="AV310" s="7"/>
    </row>
    <row r="311" spans="31:48" ht="13.9" customHeight="1">
      <c r="AE311" s="121"/>
      <c r="AF311" s="121"/>
      <c r="AG311" s="121"/>
      <c r="AH311" s="121"/>
      <c r="AI311" s="121"/>
      <c r="AJ311" s="121"/>
      <c r="AK311" s="121"/>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59"/>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21"/>
      <c r="AM318" s="121"/>
      <c r="AN318" s="121"/>
      <c r="AO318" s="121"/>
      <c r="AP318" s="121"/>
      <c r="AQ318" s="121"/>
      <c r="AR318" s="121"/>
      <c r="AS318" s="121"/>
      <c r="AT318" s="121"/>
      <c r="AU318" s="121"/>
      <c r="AV318" s="7"/>
    </row>
    <row r="319" spans="31:48" ht="13.9" customHeight="1">
      <c r="AE319" s="7"/>
      <c r="AF319" s="7"/>
      <c r="AG319" s="7"/>
      <c r="AH319" s="7"/>
      <c r="AI319" s="7"/>
      <c r="AJ319" s="7"/>
      <c r="AK319" s="7"/>
      <c r="AL319" s="121"/>
      <c r="AM319" s="121"/>
      <c r="AN319" s="121"/>
      <c r="AO319" s="121"/>
      <c r="AP319" s="121"/>
      <c r="AQ319" s="121"/>
      <c r="AR319" s="121"/>
      <c r="AS319" s="121"/>
      <c r="AT319" s="121"/>
      <c r="AU319" s="121"/>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24"/>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82"/>
      <c r="F363" s="82"/>
      <c r="G363" s="82"/>
      <c r="H363" s="82"/>
      <c r="I363" s="82"/>
      <c r="J363" s="82"/>
      <c r="K363" s="82"/>
      <c r="L363" s="82"/>
      <c r="M363" s="82"/>
      <c r="N363" s="82"/>
      <c r="AA363" s="7"/>
      <c r="AB363" s="7"/>
      <c r="AC363" s="7"/>
      <c r="AD363" s="7"/>
      <c r="AE363" s="7"/>
      <c r="AF363" s="7"/>
      <c r="AG363" s="7"/>
      <c r="AH363" s="7"/>
      <c r="AI363" s="7"/>
      <c r="AJ363" s="7"/>
      <c r="AK363" s="7"/>
      <c r="AV363" s="7"/>
    </row>
    <row r="364" spans="5:48" ht="13.9" customHeight="1">
      <c r="E364" s="87"/>
      <c r="F364" s="87"/>
      <c r="G364" s="87"/>
      <c r="H364" s="87"/>
      <c r="I364" s="87"/>
      <c r="J364" s="87"/>
      <c r="K364" s="87"/>
      <c r="L364" s="87"/>
      <c r="M364" s="87"/>
      <c r="N364" s="87"/>
      <c r="AA364" s="7"/>
      <c r="AB364" s="7"/>
      <c r="AC364" s="7"/>
      <c r="AD364" s="7"/>
      <c r="AE364" s="7"/>
      <c r="AF364" s="7"/>
      <c r="AG364" s="7"/>
      <c r="AH364" s="7"/>
      <c r="AI364" s="7"/>
      <c r="AJ364" s="7"/>
      <c r="AK364" s="7"/>
      <c r="AV364" s="7"/>
    </row>
    <row r="365" spans="5:48" ht="13.9" customHeight="1">
      <c r="E365" s="87"/>
      <c r="F365" s="87"/>
      <c r="G365" s="87"/>
      <c r="H365" s="87"/>
      <c r="I365" s="87"/>
      <c r="J365" s="87"/>
      <c r="K365" s="87"/>
      <c r="L365" s="87"/>
      <c r="M365" s="87"/>
      <c r="N365" s="87"/>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87"/>
      <c r="F366" s="87"/>
      <c r="G366" s="87"/>
      <c r="H366" s="87"/>
      <c r="I366" s="87"/>
      <c r="J366" s="87"/>
      <c r="K366" s="87"/>
      <c r="L366" s="87"/>
      <c r="M366" s="87"/>
      <c r="N366" s="87"/>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87"/>
      <c r="F367" s="87"/>
      <c r="G367" s="87"/>
      <c r="H367" s="87"/>
      <c r="I367" s="87"/>
      <c r="J367" s="87"/>
      <c r="K367" s="87"/>
      <c r="L367" s="87"/>
      <c r="M367" s="87"/>
      <c r="N367" s="87"/>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87"/>
      <c r="F368" s="87"/>
      <c r="G368" s="87"/>
      <c r="H368" s="87"/>
      <c r="I368" s="87"/>
      <c r="J368" s="87"/>
      <c r="K368" s="87"/>
      <c r="L368" s="87"/>
      <c r="M368" s="87"/>
      <c r="N368" s="87"/>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87"/>
      <c r="F369" s="87"/>
      <c r="G369" s="87"/>
      <c r="H369" s="87"/>
      <c r="I369" s="87"/>
      <c r="J369" s="87"/>
      <c r="K369" s="87"/>
      <c r="L369" s="87"/>
      <c r="M369" s="87"/>
      <c r="N369" s="87"/>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86"/>
      <c r="AC427" s="86"/>
    </row>
    <row r="428" spans="27:31" ht="13.9" customHeight="1">
      <c r="AA428" s="7"/>
      <c r="AB428" s="86"/>
      <c r="AC428" s="86"/>
    </row>
    <row r="429" spans="27:31" ht="13.9" customHeight="1">
      <c r="AA429" s="7"/>
      <c r="AB429" s="86"/>
      <c r="AC429" s="86"/>
    </row>
    <row r="430" spans="27:31" ht="13.9" customHeight="1">
      <c r="AA430" s="7"/>
      <c r="AB430" s="86"/>
      <c r="AC430" s="86"/>
    </row>
    <row r="431" spans="27:31" ht="13.9" customHeight="1">
      <c r="AA431" s="7"/>
      <c r="AB431" s="86"/>
      <c r="AC431" s="86"/>
    </row>
    <row r="432" spans="27:31" ht="13.9" customHeight="1">
      <c r="AA432" s="7"/>
      <c r="AB432" s="86"/>
      <c r="AC432" s="86"/>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B19" sqref="B19:K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108</v>
      </c>
      <c r="C3" s="4"/>
      <c r="D3" s="4"/>
      <c r="E3" s="4"/>
      <c r="F3" s="4"/>
      <c r="G3" s="4"/>
      <c r="H3" s="4"/>
      <c r="I3" s="4"/>
      <c r="J3" s="4"/>
      <c r="K3" s="4"/>
      <c r="X3" s="4" t="s">
        <v>700</v>
      </c>
      <c r="Y3" s="4"/>
      <c r="Z3" s="4"/>
      <c r="AA3" s="4"/>
      <c r="AB3" s="4"/>
      <c r="AC3" s="4"/>
      <c r="AD3" s="4"/>
      <c r="AE3" s="4"/>
      <c r="AF3" s="4"/>
      <c r="AG3" s="4"/>
      <c r="AH3" s="4"/>
      <c r="AI3" s="4"/>
      <c r="AJ3" s="4"/>
      <c r="AK3" s="4"/>
      <c r="AL3" s="4"/>
      <c r="AM3" s="4"/>
      <c r="AN3" s="4"/>
      <c r="AO3" s="4"/>
      <c r="AP3" s="4"/>
      <c r="AQ3" s="4"/>
      <c r="AR3" s="4"/>
      <c r="AT3" s="4" t="s">
        <v>701</v>
      </c>
      <c r="AU3" s="4"/>
      <c r="AV3" s="4"/>
      <c r="AW3" s="4"/>
      <c r="AX3" s="4"/>
      <c r="AY3" s="4"/>
      <c r="AZ3" s="4"/>
      <c r="BA3" s="4"/>
      <c r="BB3" s="4"/>
      <c r="BC3" s="4"/>
      <c r="BD3" s="4"/>
      <c r="BE3" s="4"/>
    </row>
    <row r="4" spans="2:57" ht="15" thickTop="1"/>
    <row r="5" spans="2:57" ht="18" customHeight="1">
      <c r="B5" s="292" t="str">
        <f>"Table 9. "&amp;City_label&amp;" count of owner and renter households by racial group, 2019"</f>
        <v>Table 9. Algona count of owner and renter households by racial group, 2019</v>
      </c>
      <c r="C5" s="292"/>
      <c r="D5" s="292"/>
      <c r="E5" s="292"/>
      <c r="F5" s="292"/>
      <c r="G5" s="292"/>
      <c r="H5" s="292"/>
      <c r="I5" s="292"/>
      <c r="J5" s="292"/>
      <c r="K5" s="292"/>
      <c r="X5" s="16" t="s">
        <v>126</v>
      </c>
      <c r="Y5" s="295" t="str">
        <f>City</f>
        <v>Algona city, Washington</v>
      </c>
      <c r="Z5" s="295"/>
    </row>
    <row r="6" spans="2:57" ht="18" customHeight="1">
      <c r="B6" s="292"/>
      <c r="C6" s="292"/>
      <c r="D6" s="292"/>
      <c r="E6" s="292"/>
      <c r="F6" s="292"/>
      <c r="G6" s="292"/>
      <c r="H6" s="292"/>
      <c r="I6" s="292"/>
      <c r="J6" s="292"/>
      <c r="K6" s="292"/>
      <c r="X6" s="16" t="s">
        <v>127</v>
      </c>
      <c r="Y6" s="295" t="str">
        <f>County</f>
        <v>King County, Washington</v>
      </c>
      <c r="Z6" s="295"/>
      <c r="AU6" s="185"/>
      <c r="AX6" s="186"/>
    </row>
    <row r="7" spans="2:57" ht="18" customHeight="1" thickBot="1">
      <c r="C7" s="181"/>
      <c r="D7" s="181"/>
      <c r="E7" s="181"/>
      <c r="F7" s="181"/>
      <c r="G7" s="181"/>
      <c r="H7" s="181"/>
      <c r="I7" s="181"/>
      <c r="J7" s="181"/>
      <c r="K7" s="181"/>
      <c r="AT7" s="361" t="s">
        <v>202</v>
      </c>
      <c r="AU7" s="361"/>
      <c r="AV7" s="361"/>
      <c r="AW7" s="361" t="s">
        <v>242</v>
      </c>
      <c r="AX7" s="361"/>
      <c r="AY7" s="361"/>
    </row>
    <row r="8" spans="2:57" ht="17.25" thickBot="1">
      <c r="B8" s="209"/>
      <c r="C8" s="247"/>
      <c r="D8" s="247"/>
      <c r="E8" s="57" t="str">
        <f>City_label</f>
        <v>Algona</v>
      </c>
      <c r="F8" s="248"/>
      <c r="G8" s="247"/>
      <c r="H8" s="57" t="str">
        <f>City_label</f>
        <v>Algona</v>
      </c>
      <c r="I8" s="248"/>
      <c r="J8" s="57" t="str">
        <f>County_label</f>
        <v>King County</v>
      </c>
      <c r="K8" s="248"/>
      <c r="X8" s="54" t="str">
        <f>City</f>
        <v>Algona city, Washington</v>
      </c>
      <c r="Y8" s="54"/>
      <c r="Z8" s="54"/>
      <c r="AA8" s="54"/>
      <c r="AB8" s="54"/>
      <c r="AC8" s="54"/>
      <c r="AD8" s="54"/>
      <c r="AE8" s="54"/>
      <c r="AF8" s="54"/>
      <c r="AG8" s="54"/>
      <c r="AH8" s="54"/>
      <c r="AI8" s="54"/>
      <c r="AJ8" s="54"/>
      <c r="AK8" s="54"/>
      <c r="AL8" s="54"/>
      <c r="AM8" s="54"/>
      <c r="AN8" s="54"/>
      <c r="AO8" s="54"/>
      <c r="AP8" s="54"/>
      <c r="AQ8" s="54"/>
      <c r="AR8" s="54"/>
      <c r="AT8" s="361"/>
      <c r="AU8" s="361"/>
      <c r="AV8" s="361"/>
      <c r="AW8" s="361"/>
      <c r="AX8" s="361"/>
      <c r="AY8" s="361"/>
    </row>
    <row r="9" spans="2:57" ht="14.45" customHeight="1" thickTop="1">
      <c r="B9" s="21"/>
      <c r="C9" s="21"/>
      <c r="E9" s="316" t="s">
        <v>197</v>
      </c>
      <c r="F9" s="316" t="s">
        <v>200</v>
      </c>
      <c r="G9" s="21"/>
      <c r="H9" s="316" t="s">
        <v>702</v>
      </c>
      <c r="I9" s="316" t="s">
        <v>703</v>
      </c>
      <c r="J9" s="316" t="s">
        <v>702</v>
      </c>
      <c r="K9" s="316" t="s">
        <v>703</v>
      </c>
    </row>
    <row r="10" spans="2:57" ht="15">
      <c r="B10" s="62"/>
      <c r="C10" s="62"/>
      <c r="D10" s="27"/>
      <c r="E10" s="317"/>
      <c r="F10" s="317"/>
      <c r="G10" s="62"/>
      <c r="H10" s="317"/>
      <c r="I10" s="317"/>
      <c r="J10" s="317"/>
      <c r="K10" s="317"/>
      <c r="X10" s="140" t="s">
        <v>704</v>
      </c>
      <c r="Y10" s="5"/>
      <c r="Z10" s="5"/>
      <c r="AA10" s="5"/>
      <c r="AB10" s="5"/>
      <c r="AC10" s="5"/>
      <c r="AD10" s="5"/>
      <c r="AE10" s="5"/>
      <c r="AF10" s="5"/>
      <c r="AG10" s="5"/>
      <c r="AH10" s="140" t="s">
        <v>279</v>
      </c>
      <c r="AI10" s="105" t="s">
        <v>705</v>
      </c>
      <c r="AJ10" s="29"/>
      <c r="AK10" s="49"/>
      <c r="AL10" s="5"/>
      <c r="AM10" s="5"/>
      <c r="AN10" s="5"/>
      <c r="AO10" s="5"/>
      <c r="AP10" s="5"/>
      <c r="AQ10" s="5"/>
      <c r="AR10" s="5"/>
    </row>
    <row r="11" spans="2:57" ht="15.75" customHeight="1">
      <c r="B11" s="21" t="s">
        <v>186</v>
      </c>
      <c r="C11" s="21"/>
      <c r="E11" s="244">
        <f>Y29</f>
        <v>25</v>
      </c>
      <c r="F11" s="244">
        <f>Y40</f>
        <v>0</v>
      </c>
      <c r="G11" s="21"/>
      <c r="H11" s="245">
        <f>IFERROR(E11/SUM(E11:F11), "0%")</f>
        <v>1</v>
      </c>
      <c r="I11" s="245" t="str">
        <f t="shared" ref="I11:I18" si="0">IFERROR(F11/SUM(F11:F11), "0%")</f>
        <v>0%</v>
      </c>
      <c r="J11" s="245">
        <f>Y66/Y51</f>
        <v>0.37367802585193888</v>
      </c>
      <c r="K11" s="245">
        <f>Y77/Y51</f>
        <v>0.62632197414806112</v>
      </c>
      <c r="X11" s="140"/>
      <c r="Y11" s="332" t="s">
        <v>186</v>
      </c>
      <c r="Z11" s="288" t="s">
        <v>145</v>
      </c>
      <c r="AA11" s="332" t="s">
        <v>139</v>
      </c>
      <c r="AB11" s="332" t="s">
        <v>157</v>
      </c>
      <c r="AC11" s="332" t="s">
        <v>151</v>
      </c>
      <c r="AD11" s="332" t="s">
        <v>187</v>
      </c>
      <c r="AE11" s="288" t="s">
        <v>136</v>
      </c>
      <c r="AF11" s="288" t="s">
        <v>189</v>
      </c>
      <c r="AG11" s="5"/>
      <c r="AH11" s="29"/>
      <c r="AI11" s="360" t="s">
        <v>145</v>
      </c>
      <c r="AJ11" s="360" t="s">
        <v>139</v>
      </c>
      <c r="AK11" s="360" t="s">
        <v>188</v>
      </c>
      <c r="AL11" s="360" t="s">
        <v>151</v>
      </c>
      <c r="AM11" s="360" t="s">
        <v>706</v>
      </c>
      <c r="AN11" s="360" t="s">
        <v>136</v>
      </c>
      <c r="AO11" s="360" t="s">
        <v>189</v>
      </c>
      <c r="AR11" s="5"/>
    </row>
    <row r="12" spans="2:57" ht="13.9" customHeight="1">
      <c r="B12" s="21" t="s">
        <v>145</v>
      </c>
      <c r="C12" s="21"/>
      <c r="E12" s="244">
        <f>Z29</f>
        <v>120</v>
      </c>
      <c r="F12" s="244">
        <f>Z40</f>
        <v>15</v>
      </c>
      <c r="G12" s="21"/>
      <c r="H12" s="245">
        <f t="shared" ref="H12:H18" si="1">IFERROR(E12/SUM(E12:F12), "0%")</f>
        <v>0.88888888888888884</v>
      </c>
      <c r="I12" s="245">
        <f t="shared" si="0"/>
        <v>1</v>
      </c>
      <c r="J12" s="245">
        <f>Z66/Z51</f>
        <v>0.58982893135781256</v>
      </c>
      <c r="K12" s="245">
        <f>Z77/Z51</f>
        <v>0.41017106864218739</v>
      </c>
      <c r="X12" s="5"/>
      <c r="Y12" s="332"/>
      <c r="Z12" s="288"/>
      <c r="AA12" s="332"/>
      <c r="AB12" s="332"/>
      <c r="AC12" s="332"/>
      <c r="AD12" s="332"/>
      <c r="AE12" s="288"/>
      <c r="AF12" s="288"/>
      <c r="AG12" s="5"/>
      <c r="AH12" s="5"/>
      <c r="AI12" s="360"/>
      <c r="AJ12" s="360"/>
      <c r="AK12" s="360"/>
      <c r="AL12" s="360"/>
      <c r="AM12" s="360"/>
      <c r="AN12" s="360"/>
      <c r="AO12" s="360"/>
      <c r="AR12" s="5"/>
    </row>
    <row r="13" spans="2:57">
      <c r="B13" s="21" t="s">
        <v>139</v>
      </c>
      <c r="C13" s="21"/>
      <c r="E13" s="244">
        <f>AA29</f>
        <v>30</v>
      </c>
      <c r="F13" s="244">
        <f>AA40</f>
        <v>30</v>
      </c>
      <c r="G13" s="21"/>
      <c r="H13" s="245">
        <f t="shared" si="1"/>
        <v>0.5</v>
      </c>
      <c r="I13" s="245">
        <f t="shared" si="0"/>
        <v>1</v>
      </c>
      <c r="J13" s="245">
        <f>AA66/AA51</f>
        <v>0.27977839335180055</v>
      </c>
      <c r="K13" s="245">
        <f>AA77/AA51</f>
        <v>0.72022160664819945</v>
      </c>
      <c r="X13" s="5"/>
      <c r="Y13" s="332"/>
      <c r="Z13" s="288"/>
      <c r="AA13" s="332"/>
      <c r="AB13" s="332"/>
      <c r="AC13" s="332"/>
      <c r="AD13" s="332"/>
      <c r="AE13" s="288"/>
      <c r="AF13" s="288"/>
      <c r="AG13" s="5"/>
      <c r="AH13" s="5"/>
      <c r="AI13" s="360"/>
      <c r="AJ13" s="360"/>
      <c r="AK13" s="360"/>
      <c r="AL13" s="360"/>
      <c r="AM13" s="360"/>
      <c r="AN13" s="360"/>
      <c r="AO13" s="360"/>
      <c r="AR13" s="5"/>
    </row>
    <row r="14" spans="2:57" ht="15">
      <c r="B14" s="21" t="s">
        <v>157</v>
      </c>
      <c r="C14" s="21"/>
      <c r="E14" s="244">
        <f>AB29</f>
        <v>75</v>
      </c>
      <c r="F14" s="244">
        <f>AB40</f>
        <v>30</v>
      </c>
      <c r="G14" s="21"/>
      <c r="H14" s="245">
        <f t="shared" si="1"/>
        <v>0.7142857142857143</v>
      </c>
      <c r="I14" s="245">
        <f t="shared" si="0"/>
        <v>1</v>
      </c>
      <c r="J14" s="245">
        <f>AB66/AB51</f>
        <v>0.34766401590457258</v>
      </c>
      <c r="K14" s="245">
        <f>AB77/AB51</f>
        <v>0.65233598409542748</v>
      </c>
      <c r="X14" s="25" t="s">
        <v>707</v>
      </c>
      <c r="Y14" s="29">
        <f t="shared" ref="Y14:AE14" si="2">SUM(Y29,Y40)</f>
        <v>25</v>
      </c>
      <c r="Z14" s="29">
        <f t="shared" si="2"/>
        <v>135</v>
      </c>
      <c r="AA14" s="29">
        <f t="shared" si="2"/>
        <v>60</v>
      </c>
      <c r="AB14" s="29">
        <f t="shared" si="2"/>
        <v>105</v>
      </c>
      <c r="AC14" s="29">
        <f t="shared" si="2"/>
        <v>20</v>
      </c>
      <c r="AD14" s="29">
        <f t="shared" si="2"/>
        <v>15</v>
      </c>
      <c r="AE14" s="29">
        <f t="shared" si="2"/>
        <v>550</v>
      </c>
      <c r="AF14" s="2">
        <v>910</v>
      </c>
      <c r="AG14" s="5"/>
      <c r="AH14" t="s">
        <v>202</v>
      </c>
      <c r="AI14" s="5">
        <f>AI25</f>
        <v>120</v>
      </c>
      <c r="AJ14" s="5">
        <f t="shared" ref="AJ14:AO14" si="3">AJ25</f>
        <v>30</v>
      </c>
      <c r="AK14" s="5">
        <f t="shared" si="3"/>
        <v>75</v>
      </c>
      <c r="AL14" s="5">
        <f t="shared" si="3"/>
        <v>60</v>
      </c>
      <c r="AM14" s="5">
        <f t="shared" si="3"/>
        <v>210</v>
      </c>
      <c r="AN14" s="5">
        <f t="shared" si="3"/>
        <v>430</v>
      </c>
      <c r="AO14" s="5">
        <f t="shared" si="3"/>
        <v>710</v>
      </c>
      <c r="AP14" s="29"/>
      <c r="AQ14" s="29"/>
      <c r="AR14" s="5"/>
    </row>
    <row r="15" spans="2:57">
      <c r="B15" s="21" t="s">
        <v>151</v>
      </c>
      <c r="C15" s="21"/>
      <c r="E15" s="244">
        <f>AC29</f>
        <v>20</v>
      </c>
      <c r="F15" s="244">
        <f>AC40</f>
        <v>0</v>
      </c>
      <c r="G15" s="21"/>
      <c r="H15" s="245">
        <f t="shared" si="1"/>
        <v>1</v>
      </c>
      <c r="I15" s="245" t="str">
        <f t="shared" si="0"/>
        <v>0%</v>
      </c>
      <c r="J15" s="245">
        <f>AC66/AC51</f>
        <v>0.40786809372288113</v>
      </c>
      <c r="K15" s="245">
        <f>AC77/AC51</f>
        <v>0.59213190627711887</v>
      </c>
      <c r="X15" s="25"/>
      <c r="Y15" s="5"/>
      <c r="Z15" s="5"/>
      <c r="AA15" s="5"/>
      <c r="AB15" s="5"/>
      <c r="AC15" s="5"/>
      <c r="AD15" s="5"/>
      <c r="AE15" s="5"/>
      <c r="AF15" s="5"/>
      <c r="AG15" s="5"/>
      <c r="AH15" s="25" t="s">
        <v>242</v>
      </c>
      <c r="AI15" s="5">
        <f>AI36</f>
        <v>15</v>
      </c>
      <c r="AJ15" s="5">
        <f t="shared" ref="AJ15:AO15" si="4">AJ36</f>
        <v>30</v>
      </c>
      <c r="AK15" s="5">
        <f t="shared" si="4"/>
        <v>30</v>
      </c>
      <c r="AL15" s="5">
        <f t="shared" si="4"/>
        <v>0</v>
      </c>
      <c r="AM15" s="5">
        <f t="shared" si="4"/>
        <v>45</v>
      </c>
      <c r="AN15" s="5">
        <f t="shared" si="4"/>
        <v>120</v>
      </c>
      <c r="AO15" s="5">
        <f t="shared" si="4"/>
        <v>195</v>
      </c>
      <c r="AP15" s="5"/>
    </row>
    <row r="16" spans="2:57" ht="15">
      <c r="B16" s="21" t="s">
        <v>187</v>
      </c>
      <c r="C16" s="21"/>
      <c r="E16" s="244">
        <f>AD29</f>
        <v>15</v>
      </c>
      <c r="F16" s="244">
        <f>AD40</f>
        <v>0</v>
      </c>
      <c r="G16" s="21"/>
      <c r="H16" s="245">
        <f t="shared" si="1"/>
        <v>1</v>
      </c>
      <c r="I16" s="245" t="str">
        <f t="shared" si="0"/>
        <v>0%</v>
      </c>
      <c r="J16" s="245">
        <f>AD66/AD51</f>
        <v>0.22666666666666666</v>
      </c>
      <c r="K16" s="245">
        <f>AD77/AD51</f>
        <v>0.77333333333333332</v>
      </c>
      <c r="X16" s="25"/>
      <c r="Y16" s="5"/>
      <c r="Z16" s="5"/>
      <c r="AA16" s="5"/>
      <c r="AB16" s="5"/>
      <c r="AC16" s="5"/>
      <c r="AD16" s="5"/>
      <c r="AE16" s="242" t="s">
        <v>708</v>
      </c>
      <c r="AF16" s="5">
        <f>SUM(Y14:AE14)</f>
        <v>910</v>
      </c>
      <c r="AG16" s="5"/>
      <c r="AH16" s="26" t="s">
        <v>149</v>
      </c>
      <c r="AI16" s="26">
        <f>Z14</f>
        <v>135</v>
      </c>
      <c r="AJ16" s="26">
        <f>AA14</f>
        <v>60</v>
      </c>
      <c r="AK16" s="29">
        <f>AB14</f>
        <v>105</v>
      </c>
      <c r="AL16" s="29">
        <f>SUM(Y14, AC14:AD14)</f>
        <v>60</v>
      </c>
      <c r="AM16" s="29">
        <f>SUM(Y14:AA14,AC14:AD14)</f>
        <v>255</v>
      </c>
      <c r="AN16" s="29">
        <f>AE14</f>
        <v>550</v>
      </c>
      <c r="AO16" s="29">
        <f>AF14</f>
        <v>910</v>
      </c>
      <c r="AP16" s="5"/>
    </row>
    <row r="17" spans="2:42">
      <c r="B17" s="21" t="s">
        <v>136</v>
      </c>
      <c r="C17" s="21"/>
      <c r="E17" s="272">
        <f>AE29</f>
        <v>430</v>
      </c>
      <c r="F17" s="272">
        <f>AE40</f>
        <v>120</v>
      </c>
      <c r="G17" s="62"/>
      <c r="H17" s="273">
        <f t="shared" si="1"/>
        <v>0.78181818181818186</v>
      </c>
      <c r="I17" s="273">
        <f t="shared" si="0"/>
        <v>1</v>
      </c>
      <c r="J17" s="273">
        <f>AE66/AE51</f>
        <v>0.62559157143464039</v>
      </c>
      <c r="K17" s="273">
        <f>AE77/AE51</f>
        <v>0.37440842856535961</v>
      </c>
      <c r="X17" s="25"/>
      <c r="Y17" s="5"/>
      <c r="Z17" s="5"/>
      <c r="AA17" s="5"/>
      <c r="AB17" s="5"/>
      <c r="AC17" s="5"/>
      <c r="AD17" s="5"/>
      <c r="AE17" s="241"/>
      <c r="AG17" s="5"/>
      <c r="AH17" s="5"/>
      <c r="AI17" s="243" t="s">
        <v>145</v>
      </c>
      <c r="AJ17" s="25" t="s">
        <v>139</v>
      </c>
      <c r="AK17" s="25" t="s">
        <v>709</v>
      </c>
      <c r="AL17" s="25" t="s">
        <v>151</v>
      </c>
      <c r="AM17" s="25" t="s">
        <v>706</v>
      </c>
      <c r="AN17" s="25" t="s">
        <v>136</v>
      </c>
      <c r="AO17" s="25" t="s">
        <v>189</v>
      </c>
      <c r="AP17" s="5"/>
    </row>
    <row r="18" spans="2:42" ht="15" thickBot="1">
      <c r="B18" s="238"/>
      <c r="C18" s="238"/>
      <c r="D18" s="238" t="s">
        <v>149</v>
      </c>
      <c r="E18" s="249">
        <f>AF29</f>
        <v>710</v>
      </c>
      <c r="F18" s="249">
        <f>AF40</f>
        <v>195</v>
      </c>
      <c r="G18" s="238"/>
      <c r="H18" s="250">
        <f t="shared" si="1"/>
        <v>0.78453038674033149</v>
      </c>
      <c r="I18" s="250">
        <f>IFERROR(F18/SUM(E18:F18), "0%")</f>
        <v>0.21546961325966851</v>
      </c>
      <c r="J18" s="250">
        <f>AF66/AF51</f>
        <v>0.56947609491740647</v>
      </c>
      <c r="K18" s="250">
        <f>AF77/AF51</f>
        <v>0.43052390508259358</v>
      </c>
      <c r="AE18" s="51" t="s">
        <v>707</v>
      </c>
      <c r="AF18" s="103" t="s">
        <v>710</v>
      </c>
      <c r="AG18" s="5"/>
      <c r="AH18" t="s">
        <v>202</v>
      </c>
      <c r="AI18" s="6">
        <f>AI14/AI$16</f>
        <v>0.88888888888888884</v>
      </c>
      <c r="AJ18" s="6">
        <f t="shared" ref="AJ18:AO18" si="5">AJ14/AJ$16</f>
        <v>0.5</v>
      </c>
      <c r="AK18" s="6">
        <f t="shared" si="5"/>
        <v>0.7142857142857143</v>
      </c>
      <c r="AL18" s="6">
        <f t="shared" si="5"/>
        <v>1</v>
      </c>
      <c r="AM18" s="6">
        <f t="shared" si="5"/>
        <v>0.82352941176470584</v>
      </c>
      <c r="AN18" s="6">
        <f t="shared" si="5"/>
        <v>0.78181818181818186</v>
      </c>
      <c r="AO18" s="6">
        <f t="shared" si="5"/>
        <v>0.78021978021978022</v>
      </c>
      <c r="AP18" s="5"/>
    </row>
    <row r="19" spans="2:42" ht="15">
      <c r="B19" s="327" t="s">
        <v>711</v>
      </c>
      <c r="C19" s="327"/>
      <c r="D19" s="327"/>
      <c r="E19" s="327"/>
      <c r="F19" s="327"/>
      <c r="G19" s="327"/>
      <c r="H19" s="327"/>
      <c r="I19" s="327"/>
      <c r="J19" s="327"/>
      <c r="K19" s="327"/>
      <c r="AG19" s="5"/>
      <c r="AH19" s="25" t="s">
        <v>242</v>
      </c>
      <c r="AI19" s="6">
        <f>AI15/AI$16</f>
        <v>0.1111111111111111</v>
      </c>
      <c r="AJ19" s="6">
        <f t="shared" ref="AJ19:AO19" si="6">AJ15/AJ$16</f>
        <v>0.5</v>
      </c>
      <c r="AK19" s="6">
        <f t="shared" si="6"/>
        <v>0.2857142857142857</v>
      </c>
      <c r="AL19" s="6">
        <f t="shared" si="6"/>
        <v>0</v>
      </c>
      <c r="AM19" s="6">
        <f t="shared" si="6"/>
        <v>0.17647058823529413</v>
      </c>
      <c r="AN19" s="6">
        <f t="shared" si="6"/>
        <v>0.21818181818181817</v>
      </c>
      <c r="AO19" s="6">
        <f t="shared" si="6"/>
        <v>0.21428571428571427</v>
      </c>
      <c r="AP19" s="29"/>
    </row>
    <row r="20" spans="2:42">
      <c r="B20" s="327"/>
      <c r="C20" s="327"/>
      <c r="D20" s="327"/>
      <c r="E20" s="327"/>
      <c r="F20" s="327"/>
      <c r="G20" s="327"/>
      <c r="H20" s="327"/>
      <c r="I20" s="327"/>
      <c r="J20" s="327"/>
      <c r="K20" s="327"/>
      <c r="X20" s="239"/>
      <c r="Y20" s="240"/>
      <c r="Z20" s="240"/>
      <c r="AA20" s="240"/>
      <c r="AB20" s="240"/>
      <c r="AC20" s="240"/>
      <c r="AD20" s="240"/>
      <c r="AE20" s="240"/>
      <c r="AG20" s="5"/>
      <c r="AH20" s="5" t="s">
        <v>149</v>
      </c>
      <c r="AI20" s="6">
        <f>SUM(AI18:AI19)</f>
        <v>1</v>
      </c>
      <c r="AJ20" s="6">
        <f t="shared" ref="AJ20:AO20" si="7">SUM(AJ18:AJ19)</f>
        <v>1</v>
      </c>
      <c r="AK20" s="6">
        <f t="shared" si="7"/>
        <v>1</v>
      </c>
      <c r="AL20" s="6">
        <f t="shared" si="7"/>
        <v>1</v>
      </c>
      <c r="AM20" s="6">
        <f t="shared" si="7"/>
        <v>1</v>
      </c>
      <c r="AN20" s="6">
        <f t="shared" si="7"/>
        <v>1</v>
      </c>
      <c r="AO20" s="6">
        <f t="shared" si="7"/>
        <v>0.99450549450549453</v>
      </c>
      <c r="AP20" s="5"/>
    </row>
    <row r="21" spans="2:42">
      <c r="L21" s="121"/>
      <c r="X21" s="5"/>
      <c r="Y21" s="5"/>
      <c r="Z21" s="5"/>
      <c r="AA21" s="5"/>
      <c r="AB21" s="5"/>
      <c r="AC21" s="5"/>
      <c r="AD21" s="5"/>
      <c r="AE21" s="5"/>
      <c r="AF21" s="5"/>
      <c r="AG21" s="5"/>
      <c r="AH21" s="5"/>
      <c r="AI21" s="5"/>
      <c r="AJ21" s="5"/>
      <c r="AK21" s="5"/>
      <c r="AL21" s="5"/>
      <c r="AM21" s="5"/>
      <c r="AN21" s="5"/>
      <c r="AO21" s="5"/>
      <c r="AP21" s="5"/>
    </row>
    <row r="22" spans="2:42" ht="17.25" customHeight="1">
      <c r="B22" s="292" t="str">
        <f>"Chart 16. "&amp;City_label&amp;" total number of owner and renter households by race and ethnicity, 2019"</f>
        <v>Chart 16. Algona total number of owner and renter households by race and ethnicity, 2019</v>
      </c>
      <c r="C22" s="292"/>
      <c r="D22" s="292"/>
      <c r="E22" s="292"/>
      <c r="F22" s="292"/>
      <c r="G22" s="292"/>
      <c r="H22" s="292"/>
      <c r="I22" s="292"/>
      <c r="J22" s="292"/>
      <c r="K22" s="292"/>
      <c r="X22" s="140" t="s">
        <v>420</v>
      </c>
      <c r="AG22" s="5"/>
      <c r="AH22" s="140" t="s">
        <v>202</v>
      </c>
      <c r="AI22" s="29"/>
      <c r="AJ22" s="5"/>
      <c r="AK22" s="5"/>
      <c r="AL22" s="5"/>
      <c r="AM22" s="5"/>
      <c r="AN22" s="5"/>
      <c r="AO22" s="5"/>
      <c r="AP22" s="5"/>
    </row>
    <row r="23" spans="2:42" ht="18" customHeight="1">
      <c r="B23" s="292"/>
      <c r="C23" s="292"/>
      <c r="D23" s="292"/>
      <c r="E23" s="292"/>
      <c r="F23" s="292"/>
      <c r="G23" s="292"/>
      <c r="H23" s="292"/>
      <c r="I23" s="292"/>
      <c r="J23" s="292"/>
      <c r="K23" s="292"/>
      <c r="Y23" s="49" t="s">
        <v>80</v>
      </c>
      <c r="Z23" s="49" t="s">
        <v>80</v>
      </c>
      <c r="AA23" s="49" t="s">
        <v>80</v>
      </c>
      <c r="AB23" s="49" t="s">
        <v>80</v>
      </c>
      <c r="AC23" s="49" t="s">
        <v>80</v>
      </c>
      <c r="AD23" s="49" t="s">
        <v>80</v>
      </c>
      <c r="AE23" s="49" t="s">
        <v>80</v>
      </c>
      <c r="AG23" s="5"/>
      <c r="AH23" s="5"/>
      <c r="AI23" s="5"/>
      <c r="AJ23" s="5"/>
      <c r="AK23" s="5"/>
      <c r="AL23" s="5"/>
      <c r="AM23" s="5"/>
      <c r="AN23" s="5"/>
      <c r="AO23" s="5"/>
      <c r="AP23" s="5"/>
    </row>
    <row r="24" spans="2:42" ht="13.9" customHeight="1">
      <c r="Y24" s="25" t="s">
        <v>186</v>
      </c>
      <c r="Z24" s="25" t="s">
        <v>145</v>
      </c>
      <c r="AA24" s="25" t="s">
        <v>139</v>
      </c>
      <c r="AB24" s="25" t="s">
        <v>157</v>
      </c>
      <c r="AC24" s="25" t="s">
        <v>151</v>
      </c>
      <c r="AD24" s="25" t="s">
        <v>187</v>
      </c>
      <c r="AE24" s="25" t="s">
        <v>136</v>
      </c>
      <c r="AG24" s="5"/>
      <c r="AH24" s="5"/>
      <c r="AI24" s="243" t="s">
        <v>145</v>
      </c>
      <c r="AJ24" s="25" t="s">
        <v>139</v>
      </c>
      <c r="AK24" s="25" t="s">
        <v>709</v>
      </c>
      <c r="AL24" s="25" t="s">
        <v>151</v>
      </c>
      <c r="AM24" s="25" t="s">
        <v>706</v>
      </c>
      <c r="AN24" s="25" t="s">
        <v>136</v>
      </c>
      <c r="AO24" s="25" t="s">
        <v>189</v>
      </c>
      <c r="AP24" s="5"/>
    </row>
    <row r="25" spans="2:42" ht="15">
      <c r="X25" s="25" t="s">
        <v>707</v>
      </c>
      <c r="Y25" s="103" t="s">
        <v>238</v>
      </c>
      <c r="Z25" s="103" t="s">
        <v>237</v>
      </c>
      <c r="AA25" s="103" t="s">
        <v>236</v>
      </c>
      <c r="AB25" s="103" t="s">
        <v>241</v>
      </c>
      <c r="AC25" s="103" t="s">
        <v>240</v>
      </c>
      <c r="AD25" s="103" t="s">
        <v>239</v>
      </c>
      <c r="AE25" s="103" t="s">
        <v>235</v>
      </c>
      <c r="AF25" s="103" t="s">
        <v>712</v>
      </c>
      <c r="AG25" s="5"/>
      <c r="AH25" s="25" t="s">
        <v>707</v>
      </c>
      <c r="AI25" s="29">
        <f>Z29</f>
        <v>120</v>
      </c>
      <c r="AJ25" s="29">
        <f>AA29</f>
        <v>30</v>
      </c>
      <c r="AK25" s="29">
        <f>AB29</f>
        <v>75</v>
      </c>
      <c r="AL25" s="29">
        <f>SUM(Y29,AC29:AD29)</f>
        <v>60</v>
      </c>
      <c r="AM25" s="29">
        <f>SUM(Y29:AA29,AC29:AD29)</f>
        <v>210</v>
      </c>
      <c r="AN25" s="29">
        <f>AE29</f>
        <v>430</v>
      </c>
      <c r="AO25" s="29">
        <f>AF29</f>
        <v>710</v>
      </c>
      <c r="AP25" s="5"/>
    </row>
    <row r="26" spans="2:42">
      <c r="X26" s="25"/>
      <c r="Y26" s="25"/>
      <c r="Z26" s="25"/>
      <c r="AA26" s="25"/>
      <c r="AB26" s="25"/>
      <c r="AC26" s="25"/>
      <c r="AD26" s="25"/>
      <c r="AE26" s="25"/>
      <c r="AF26" s="25"/>
      <c r="AG26" s="5"/>
      <c r="AH26" s="25"/>
      <c r="AI26" s="5"/>
      <c r="AJ26" s="5"/>
      <c r="AK26" s="5"/>
      <c r="AL26" s="5"/>
      <c r="AM26" s="5"/>
      <c r="AN26" s="5"/>
      <c r="AO26" s="5"/>
      <c r="AP26" s="5"/>
    </row>
    <row r="27" spans="2:42">
      <c r="X27" s="25"/>
      <c r="Y27" s="25"/>
      <c r="Z27" s="25"/>
      <c r="AA27" s="25"/>
      <c r="AB27" s="25"/>
      <c r="AC27" s="25"/>
      <c r="AD27" s="25"/>
      <c r="AE27" s="25"/>
      <c r="AF27" s="25"/>
      <c r="AG27" s="5"/>
      <c r="AH27" s="25"/>
      <c r="AI27" s="5"/>
      <c r="AJ27" s="5"/>
      <c r="AK27" s="5"/>
      <c r="AL27" s="5"/>
      <c r="AM27" s="5"/>
      <c r="AN27" s="5"/>
      <c r="AO27" s="5"/>
      <c r="AP27" s="5"/>
    </row>
    <row r="28" spans="2:42">
      <c r="X28" s="5"/>
      <c r="Y28" t="s">
        <v>186</v>
      </c>
      <c r="Z28" t="s">
        <v>145</v>
      </c>
      <c r="AA28" t="s">
        <v>139</v>
      </c>
      <c r="AB28" t="s">
        <v>157</v>
      </c>
      <c r="AC28" t="s">
        <v>151</v>
      </c>
      <c r="AD28" t="s">
        <v>187</v>
      </c>
      <c r="AE28" t="s">
        <v>136</v>
      </c>
      <c r="AF28" s="5"/>
      <c r="AG28" s="5"/>
      <c r="AH28" s="25"/>
      <c r="AI28" s="5"/>
      <c r="AJ28" s="5"/>
      <c r="AK28" s="5"/>
      <c r="AL28" s="5"/>
      <c r="AM28" s="5"/>
      <c r="AN28" s="5"/>
      <c r="AO28" s="5"/>
      <c r="AP28" s="5"/>
    </row>
    <row r="29" spans="2:42" ht="15">
      <c r="X29" s="25" t="s">
        <v>707</v>
      </c>
      <c r="Y29" s="2">
        <v>25</v>
      </c>
      <c r="Z29" s="2">
        <v>120</v>
      </c>
      <c r="AA29" s="2">
        <v>30</v>
      </c>
      <c r="AB29" s="2">
        <v>75</v>
      </c>
      <c r="AC29" s="2">
        <v>20</v>
      </c>
      <c r="AD29" s="2">
        <v>15</v>
      </c>
      <c r="AE29" s="2">
        <v>430</v>
      </c>
      <c r="AF29" s="2">
        <v>710</v>
      </c>
      <c r="AG29" s="5"/>
      <c r="AH29" s="25"/>
      <c r="AI29" s="5"/>
      <c r="AJ29" s="5"/>
      <c r="AK29" s="5"/>
      <c r="AL29" s="5"/>
      <c r="AM29" s="5"/>
      <c r="AN29" s="5"/>
      <c r="AO29" s="5"/>
      <c r="AP29" s="5"/>
    </row>
    <row r="30" spans="2:42" ht="15">
      <c r="X30" s="25"/>
      <c r="Y30" s="25"/>
      <c r="Z30" s="25"/>
      <c r="AA30" s="25"/>
      <c r="AB30" s="25"/>
      <c r="AC30" s="25"/>
      <c r="AD30" s="25"/>
      <c r="AE30" s="25"/>
      <c r="AF30" s="25"/>
      <c r="AG30" s="5"/>
      <c r="AP30" s="29"/>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0" t="s">
        <v>566</v>
      </c>
      <c r="AH33" s="140" t="s">
        <v>242</v>
      </c>
      <c r="AI33" s="29"/>
      <c r="AJ33" s="5"/>
      <c r="AK33" s="5"/>
      <c r="AL33" s="5"/>
      <c r="AM33" s="5"/>
      <c r="AN33" s="5"/>
      <c r="AO33" s="5"/>
      <c r="AP33" s="5"/>
    </row>
    <row r="34" spans="2:44">
      <c r="Y34" s="49" t="s">
        <v>80</v>
      </c>
      <c r="Z34" s="49" t="s">
        <v>80</v>
      </c>
      <c r="AA34" s="49" t="s">
        <v>80</v>
      </c>
      <c r="AB34" s="49" t="s">
        <v>80</v>
      </c>
      <c r="AC34" s="49" t="s">
        <v>80</v>
      </c>
      <c r="AD34" s="49" t="s">
        <v>80</v>
      </c>
      <c r="AE34" s="49" t="s">
        <v>80</v>
      </c>
      <c r="AF34" s="5"/>
      <c r="AH34" s="5"/>
      <c r="AI34" s="5"/>
      <c r="AJ34" s="5"/>
      <c r="AK34" s="5"/>
      <c r="AL34" s="5"/>
      <c r="AM34" s="5"/>
      <c r="AN34" s="5"/>
      <c r="AO34" s="5"/>
      <c r="AP34" s="5"/>
    </row>
    <row r="35" spans="2:44">
      <c r="Y35" s="25" t="s">
        <v>186</v>
      </c>
      <c r="Z35" s="25" t="s">
        <v>145</v>
      </c>
      <c r="AA35" s="25" t="s">
        <v>139</v>
      </c>
      <c r="AB35" s="25" t="s">
        <v>157</v>
      </c>
      <c r="AC35" s="25" t="s">
        <v>151</v>
      </c>
      <c r="AD35" s="25" t="s">
        <v>187</v>
      </c>
      <c r="AE35" s="25" t="s">
        <v>136</v>
      </c>
      <c r="AH35" s="5"/>
      <c r="AI35" s="243" t="s">
        <v>145</v>
      </c>
      <c r="AJ35" s="25" t="s">
        <v>139</v>
      </c>
      <c r="AK35" s="25" t="s">
        <v>709</v>
      </c>
      <c r="AL35" s="25" t="s">
        <v>151</v>
      </c>
      <c r="AM35" s="25" t="s">
        <v>706</v>
      </c>
      <c r="AN35" s="25" t="s">
        <v>136</v>
      </c>
      <c r="AO35" s="25" t="s">
        <v>189</v>
      </c>
      <c r="AP35" s="5"/>
    </row>
    <row r="36" spans="2:44" ht="15">
      <c r="X36" s="25" t="s">
        <v>707</v>
      </c>
      <c r="Y36" s="103" t="s">
        <v>275</v>
      </c>
      <c r="Z36" s="103" t="s">
        <v>274</v>
      </c>
      <c r="AA36" s="103" t="s">
        <v>273</v>
      </c>
      <c r="AB36" s="103" t="s">
        <v>278</v>
      </c>
      <c r="AC36" s="103" t="s">
        <v>277</v>
      </c>
      <c r="AD36" s="103" t="s">
        <v>276</v>
      </c>
      <c r="AE36" s="103" t="s">
        <v>272</v>
      </c>
      <c r="AF36" s="103" t="s">
        <v>713</v>
      </c>
      <c r="AH36" s="25" t="s">
        <v>707</v>
      </c>
      <c r="AI36" s="29">
        <f>Z40</f>
        <v>15</v>
      </c>
      <c r="AJ36" s="29">
        <f>AA40</f>
        <v>30</v>
      </c>
      <c r="AK36" s="29">
        <f>AB40</f>
        <v>30</v>
      </c>
      <c r="AL36" s="29">
        <f>SUM(Y40, AC40:AD40)</f>
        <v>0</v>
      </c>
      <c r="AM36" s="29">
        <f>SUM(Y40:AA40,AC40:AD40)</f>
        <v>45</v>
      </c>
      <c r="AN36" s="29">
        <f>AE40</f>
        <v>120</v>
      </c>
      <c r="AO36" s="29">
        <f>AF40</f>
        <v>195</v>
      </c>
      <c r="AP36" s="5"/>
    </row>
    <row r="37" spans="2:44">
      <c r="X37" s="25"/>
      <c r="Y37" s="25"/>
      <c r="Z37" s="25"/>
      <c r="AA37" s="25"/>
      <c r="AB37" s="25"/>
      <c r="AC37" s="25"/>
      <c r="AD37" s="25"/>
      <c r="AE37" s="25"/>
      <c r="AF37" s="25"/>
      <c r="AH37" s="25"/>
      <c r="AI37" s="5"/>
      <c r="AJ37" s="5"/>
      <c r="AK37" s="5"/>
      <c r="AL37" s="5"/>
      <c r="AM37" s="5"/>
      <c r="AN37" s="5"/>
      <c r="AO37" s="5"/>
      <c r="AP37" s="5"/>
    </row>
    <row r="38" spans="2:44">
      <c r="S38" t="s">
        <v>184</v>
      </c>
      <c r="X38" s="25"/>
      <c r="Y38" s="25"/>
      <c r="Z38" s="25"/>
      <c r="AA38" s="25"/>
      <c r="AB38" s="25"/>
      <c r="AC38" s="25"/>
      <c r="AD38" s="25"/>
      <c r="AE38" s="25"/>
      <c r="AF38" s="25"/>
      <c r="AH38" s="25"/>
      <c r="AI38" s="5"/>
      <c r="AJ38" s="5"/>
      <c r="AK38" s="5"/>
      <c r="AL38" s="5"/>
      <c r="AM38" s="5"/>
      <c r="AN38" s="5"/>
      <c r="AO38" s="5"/>
      <c r="AP38" s="5"/>
    </row>
    <row r="39" spans="2:44">
      <c r="X39" s="5"/>
      <c r="Y39" t="s">
        <v>186</v>
      </c>
      <c r="Z39" t="s">
        <v>145</v>
      </c>
      <c r="AA39" t="s">
        <v>139</v>
      </c>
      <c r="AB39" t="s">
        <v>157</v>
      </c>
      <c r="AC39" t="s">
        <v>151</v>
      </c>
      <c r="AD39" t="s">
        <v>187</v>
      </c>
      <c r="AE39" t="s">
        <v>136</v>
      </c>
      <c r="AG39" s="5"/>
      <c r="AH39" s="25"/>
      <c r="AI39" s="5"/>
      <c r="AJ39" s="5"/>
      <c r="AK39" s="5"/>
      <c r="AL39" s="5"/>
      <c r="AM39" s="5"/>
      <c r="AN39" s="5"/>
      <c r="AO39" s="5"/>
      <c r="AP39" s="5"/>
    </row>
    <row r="40" spans="2:44" ht="15">
      <c r="X40" s="25" t="s">
        <v>707</v>
      </c>
      <c r="Y40" s="2">
        <v>0</v>
      </c>
      <c r="Z40" s="2">
        <v>15</v>
      </c>
      <c r="AA40" s="2">
        <v>30</v>
      </c>
      <c r="AB40" s="2">
        <v>30</v>
      </c>
      <c r="AC40" s="2">
        <v>0</v>
      </c>
      <c r="AD40" s="2">
        <v>0</v>
      </c>
      <c r="AE40" s="2">
        <v>120</v>
      </c>
      <c r="AF40" s="2">
        <v>195</v>
      </c>
      <c r="AG40" s="5"/>
      <c r="AH40" s="25"/>
      <c r="AI40" s="5"/>
      <c r="AJ40" s="5"/>
      <c r="AK40" s="5"/>
      <c r="AL40" s="5"/>
      <c r="AM40" s="5"/>
      <c r="AN40" s="5"/>
      <c r="AO40" s="5"/>
      <c r="AP40" s="5"/>
    </row>
    <row r="41" spans="2:44" ht="15">
      <c r="X41" s="140"/>
      <c r="Y41" s="5"/>
      <c r="Z41" s="5"/>
      <c r="AA41" s="5"/>
      <c r="AB41" s="5"/>
      <c r="AC41" s="5"/>
      <c r="AD41" s="5"/>
      <c r="AE41" s="5"/>
      <c r="AF41" s="5"/>
      <c r="AG41" s="5"/>
      <c r="AP41" s="29"/>
    </row>
    <row r="42" spans="2:44" ht="15">
      <c r="X42" s="140"/>
      <c r="Y42" s="5"/>
      <c r="Z42" s="5"/>
      <c r="AA42" s="5"/>
      <c r="AB42" s="5"/>
      <c r="AC42" s="5"/>
      <c r="AD42" s="5"/>
      <c r="AE42" s="5"/>
      <c r="AF42" s="5"/>
      <c r="AG42" s="5"/>
    </row>
    <row r="43" spans="2:44">
      <c r="AF43" s="5"/>
      <c r="AG43" s="5"/>
    </row>
    <row r="44" spans="2:44" ht="17.25" thickBot="1">
      <c r="X44" s="54" t="str">
        <f>County</f>
        <v>King County, Washington</v>
      </c>
      <c r="Y44" s="54"/>
      <c r="Z44" s="54"/>
      <c r="AA44" s="54"/>
      <c r="AB44" s="54"/>
      <c r="AC44" s="54"/>
      <c r="AD44" s="54"/>
      <c r="AE44" s="54"/>
      <c r="AF44" s="54"/>
      <c r="AG44" s="54"/>
      <c r="AH44" s="54"/>
      <c r="AI44" s="54"/>
      <c r="AJ44" s="54"/>
      <c r="AK44" s="54"/>
      <c r="AL44" s="54"/>
      <c r="AM44" s="54"/>
      <c r="AN44" s="54"/>
      <c r="AO44" s="54"/>
      <c r="AP44" s="54"/>
      <c r="AQ44" s="54"/>
      <c r="AR44" s="54"/>
    </row>
    <row r="45" spans="2:44" ht="15" thickTop="1">
      <c r="B45" s="269" t="s">
        <v>711</v>
      </c>
      <c r="C45" s="269"/>
      <c r="D45" s="269"/>
      <c r="E45" s="269"/>
      <c r="F45" s="269"/>
      <c r="G45" s="269"/>
      <c r="H45" s="269"/>
      <c r="I45" s="269"/>
      <c r="J45" s="269"/>
      <c r="K45" s="269"/>
      <c r="L45" s="269"/>
    </row>
    <row r="46" spans="2:44" ht="14.25" customHeight="1">
      <c r="B46" s="269"/>
      <c r="C46" s="269"/>
      <c r="D46" s="269"/>
      <c r="E46" s="269"/>
      <c r="F46" s="269"/>
      <c r="G46" s="269"/>
      <c r="H46" s="269"/>
      <c r="I46" s="269"/>
      <c r="J46" s="269"/>
      <c r="K46" s="269"/>
      <c r="L46" s="269"/>
    </row>
    <row r="47" spans="2:44" ht="22.5" customHeight="1">
      <c r="B47" s="292" t="str">
        <f>"Chart 16a. "&amp;City_label&amp;" total number of owner and renter households by race and ethnicity, 2019"</f>
        <v>Chart 16a. Algona total number of owner and renter households by race and ethnicity, 2019</v>
      </c>
      <c r="C47" s="292"/>
      <c r="D47" s="292"/>
      <c r="E47" s="292"/>
      <c r="F47" s="292"/>
      <c r="G47" s="292"/>
      <c r="H47" s="292"/>
      <c r="I47" s="292"/>
      <c r="J47" s="292"/>
      <c r="K47" s="292"/>
      <c r="X47" s="140" t="s">
        <v>704</v>
      </c>
      <c r="Y47" s="5"/>
      <c r="Z47" s="5"/>
      <c r="AA47" s="5"/>
      <c r="AB47" s="5"/>
      <c r="AC47" s="5"/>
      <c r="AD47" s="5"/>
      <c r="AE47" s="5"/>
      <c r="AF47" s="5"/>
      <c r="AG47" s="5"/>
      <c r="AH47" s="140" t="s">
        <v>279</v>
      </c>
      <c r="AI47" s="29"/>
      <c r="AJ47" s="29"/>
      <c r="AK47" s="49" t="s">
        <v>705</v>
      </c>
      <c r="AL47" s="5"/>
      <c r="AM47" s="5"/>
      <c r="AN47" s="5"/>
      <c r="AO47" s="5"/>
      <c r="AP47" s="5"/>
    </row>
    <row r="48" spans="2:44" ht="22.5" customHeight="1">
      <c r="B48" s="292"/>
      <c r="C48" s="292"/>
      <c r="D48" s="292"/>
      <c r="E48" s="292"/>
      <c r="F48" s="292"/>
      <c r="G48" s="292"/>
      <c r="H48" s="292"/>
      <c r="I48" s="292"/>
      <c r="J48" s="292"/>
      <c r="K48" s="292"/>
      <c r="X48" s="140"/>
      <c r="Y48" s="332" t="s">
        <v>186</v>
      </c>
      <c r="Z48" s="288" t="s">
        <v>145</v>
      </c>
      <c r="AA48" s="332" t="s">
        <v>139</v>
      </c>
      <c r="AB48" s="332" t="s">
        <v>157</v>
      </c>
      <c r="AC48" s="332" t="s">
        <v>151</v>
      </c>
      <c r="AD48" s="332" t="s">
        <v>187</v>
      </c>
      <c r="AE48" s="288" t="s">
        <v>136</v>
      </c>
      <c r="AF48" s="288" t="s">
        <v>189</v>
      </c>
      <c r="AG48" s="5"/>
      <c r="AH48" s="29"/>
      <c r="AI48" s="360" t="s">
        <v>145</v>
      </c>
      <c r="AJ48" s="360" t="s">
        <v>139</v>
      </c>
      <c r="AK48" s="360" t="s">
        <v>709</v>
      </c>
      <c r="AL48" s="360" t="s">
        <v>151</v>
      </c>
      <c r="AM48" s="360" t="s">
        <v>706</v>
      </c>
      <c r="AN48" s="360" t="s">
        <v>136</v>
      </c>
      <c r="AO48" s="360" t="s">
        <v>189</v>
      </c>
    </row>
    <row r="49" spans="24:44" ht="21" customHeight="1">
      <c r="X49" s="5"/>
      <c r="Y49" s="332"/>
      <c r="Z49" s="288"/>
      <c r="AA49" s="332"/>
      <c r="AB49" s="332"/>
      <c r="AC49" s="332"/>
      <c r="AD49" s="332"/>
      <c r="AE49" s="288"/>
      <c r="AF49" s="288"/>
      <c r="AG49" s="5"/>
      <c r="AH49" s="5"/>
      <c r="AI49" s="360"/>
      <c r="AJ49" s="360"/>
      <c r="AK49" s="360"/>
      <c r="AL49" s="360"/>
      <c r="AM49" s="360"/>
      <c r="AN49" s="360"/>
      <c r="AO49" s="360"/>
    </row>
    <row r="50" spans="24:44" ht="13.9" customHeight="1">
      <c r="X50" s="5"/>
      <c r="Y50" s="332"/>
      <c r="Z50" s="288"/>
      <c r="AA50" s="332"/>
      <c r="AB50" s="332"/>
      <c r="AC50" s="332"/>
      <c r="AD50" s="332"/>
      <c r="AE50" s="288"/>
      <c r="AF50" s="288"/>
      <c r="AG50" s="5"/>
      <c r="AH50" s="5"/>
      <c r="AI50" s="360"/>
      <c r="AJ50" s="360"/>
      <c r="AK50" s="360"/>
      <c r="AL50" s="360"/>
      <c r="AM50" s="360"/>
      <c r="AN50" s="360"/>
      <c r="AO50" s="360"/>
    </row>
    <row r="51" spans="24:44" ht="18.75" customHeight="1">
      <c r="X51" s="25" t="s">
        <v>707</v>
      </c>
      <c r="Y51" s="29">
        <f t="shared" ref="Y51:AF51" si="8">SUM(Y66,Y77)</f>
        <v>4255</v>
      </c>
      <c r="Z51" s="29">
        <f t="shared" si="8"/>
        <v>139710</v>
      </c>
      <c r="AA51" s="29">
        <f t="shared" si="8"/>
        <v>50540</v>
      </c>
      <c r="AB51" s="29">
        <f t="shared" si="8"/>
        <v>60360</v>
      </c>
      <c r="AC51" s="29">
        <f t="shared" si="8"/>
        <v>34570</v>
      </c>
      <c r="AD51" s="29">
        <f t="shared" si="8"/>
        <v>4125</v>
      </c>
      <c r="AE51" s="29">
        <f t="shared" si="8"/>
        <v>588475</v>
      </c>
      <c r="AF51" s="29">
        <f t="shared" si="8"/>
        <v>882030</v>
      </c>
      <c r="AG51" s="5"/>
      <c r="AH51" t="s">
        <v>202</v>
      </c>
      <c r="AI51" s="5">
        <f>AI62</f>
        <v>82405</v>
      </c>
      <c r="AJ51" s="5">
        <f t="shared" ref="AJ51:AO51" si="9">AJ62</f>
        <v>14140</v>
      </c>
      <c r="AK51" s="5">
        <f t="shared" si="9"/>
        <v>20985</v>
      </c>
      <c r="AL51" s="5">
        <f t="shared" si="9"/>
        <v>16625</v>
      </c>
      <c r="AM51" s="5">
        <f t="shared" si="9"/>
        <v>134155</v>
      </c>
      <c r="AN51" s="5">
        <f t="shared" si="9"/>
        <v>368145</v>
      </c>
      <c r="AO51" s="5">
        <f t="shared" si="9"/>
        <v>502295</v>
      </c>
      <c r="AP51" s="29"/>
    </row>
    <row r="52" spans="24:44">
      <c r="X52" s="25"/>
      <c r="Y52" s="5"/>
      <c r="Z52" s="5"/>
      <c r="AA52" s="5"/>
      <c r="AB52" s="5"/>
      <c r="AC52" s="5"/>
      <c r="AD52" s="5"/>
      <c r="AE52" s="5"/>
      <c r="AF52" s="5"/>
      <c r="AG52" s="5"/>
      <c r="AH52" s="25" t="s">
        <v>242</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23"/>
    </row>
    <row r="53" spans="24:44" ht="15">
      <c r="X53" s="25"/>
      <c r="Y53" s="5"/>
      <c r="Z53" s="5"/>
      <c r="AA53" s="5"/>
      <c r="AB53" s="5"/>
      <c r="AC53" s="5"/>
      <c r="AD53" s="5"/>
      <c r="AE53" s="242" t="s">
        <v>708</v>
      </c>
      <c r="AF53" s="5">
        <f>SUM(Y51:AE51)</f>
        <v>882035</v>
      </c>
      <c r="AG53" s="5"/>
      <c r="AH53" s="26" t="s">
        <v>149</v>
      </c>
      <c r="AI53" s="26">
        <f>Z51</f>
        <v>139710</v>
      </c>
      <c r="AJ53" s="26">
        <f>AA51</f>
        <v>50540</v>
      </c>
      <c r="AK53" s="29">
        <f>AB51</f>
        <v>60360</v>
      </c>
      <c r="AL53" s="29">
        <f>SUM(Y51, AC51:AD51)</f>
        <v>42950</v>
      </c>
      <c r="AM53" s="29">
        <f>SUM(Y51:AD51)</f>
        <v>293560</v>
      </c>
      <c r="AN53" s="29">
        <f>AE51</f>
        <v>588475</v>
      </c>
      <c r="AO53" s="29">
        <f>AF51</f>
        <v>882030</v>
      </c>
      <c r="AP53" s="5"/>
    </row>
    <row r="54" spans="24:44">
      <c r="X54" s="25"/>
      <c r="Y54" s="5"/>
      <c r="Z54" s="5"/>
      <c r="AA54" s="5"/>
      <c r="AB54" s="5"/>
      <c r="AC54" s="5"/>
      <c r="AD54" s="5"/>
      <c r="AE54" s="241"/>
      <c r="AG54" s="5"/>
      <c r="AH54" s="25"/>
      <c r="AI54" s="5"/>
      <c r="AJ54" s="5"/>
      <c r="AK54" s="5"/>
      <c r="AL54" s="5"/>
      <c r="AM54" s="5"/>
      <c r="AN54" s="5"/>
      <c r="AO54" s="5"/>
      <c r="AP54" s="5"/>
    </row>
    <row r="55" spans="24:44">
      <c r="AE55" s="51" t="s">
        <v>707</v>
      </c>
      <c r="AF55" s="103" t="s">
        <v>710</v>
      </c>
      <c r="AG55" s="5"/>
      <c r="AH55" t="s">
        <v>202</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25" t="s">
        <v>242</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29"/>
    </row>
    <row r="57" spans="24:44">
      <c r="X57" s="239"/>
      <c r="Y57" s="240"/>
      <c r="Z57" s="240"/>
      <c r="AA57" s="240"/>
      <c r="AB57" s="240"/>
      <c r="AC57" s="240"/>
      <c r="AD57" s="240"/>
      <c r="AE57" s="240"/>
      <c r="AG57" s="5"/>
      <c r="AH57" s="5" t="s">
        <v>149</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0" t="s">
        <v>420</v>
      </c>
      <c r="AG59" s="5"/>
      <c r="AH59" s="140" t="s">
        <v>202</v>
      </c>
      <c r="AI59" s="29"/>
      <c r="AJ59" s="5"/>
      <c r="AK59" s="5"/>
      <c r="AL59" s="5"/>
      <c r="AM59" s="5"/>
      <c r="AN59" s="5"/>
      <c r="AO59" s="5"/>
      <c r="AP59" s="5"/>
    </row>
    <row r="60" spans="24:44">
      <c r="Y60" s="49" t="s">
        <v>84</v>
      </c>
      <c r="Z60" s="49" t="s">
        <v>84</v>
      </c>
      <c r="AA60" s="49" t="s">
        <v>84</v>
      </c>
      <c r="AB60" s="49" t="s">
        <v>84</v>
      </c>
      <c r="AC60" s="49" t="s">
        <v>84</v>
      </c>
      <c r="AD60" s="49" t="s">
        <v>84</v>
      </c>
      <c r="AE60" s="49" t="s">
        <v>84</v>
      </c>
      <c r="AF60" s="49" t="s">
        <v>84</v>
      </c>
      <c r="AG60" s="5"/>
      <c r="AH60" s="5"/>
      <c r="AI60" s="5"/>
      <c r="AJ60" s="5"/>
      <c r="AK60" s="5"/>
      <c r="AL60" s="5"/>
      <c r="AM60" s="5"/>
      <c r="AN60" s="5"/>
      <c r="AO60" s="5"/>
      <c r="AP60" s="5"/>
    </row>
    <row r="61" spans="24:44">
      <c r="Y61" s="25" t="s">
        <v>186</v>
      </c>
      <c r="Z61" s="25" t="s">
        <v>145</v>
      </c>
      <c r="AA61" s="25" t="s">
        <v>139</v>
      </c>
      <c r="AB61" s="25" t="s">
        <v>157</v>
      </c>
      <c r="AC61" s="25" t="s">
        <v>151</v>
      </c>
      <c r="AD61" s="25" t="s">
        <v>187</v>
      </c>
      <c r="AE61" s="25" t="s">
        <v>136</v>
      </c>
      <c r="AG61" s="5"/>
      <c r="AH61" s="5"/>
      <c r="AI61" s="243" t="s">
        <v>145</v>
      </c>
      <c r="AJ61" s="25" t="s">
        <v>139</v>
      </c>
      <c r="AK61" s="25" t="s">
        <v>709</v>
      </c>
      <c r="AL61" s="25" t="s">
        <v>151</v>
      </c>
      <c r="AM61" s="25" t="s">
        <v>706</v>
      </c>
      <c r="AN61" s="25" t="s">
        <v>136</v>
      </c>
      <c r="AO61" s="25" t="s">
        <v>189</v>
      </c>
      <c r="AP61" s="5"/>
    </row>
    <row r="62" spans="24:44" ht="15">
      <c r="X62" s="25" t="s">
        <v>707</v>
      </c>
      <c r="Y62" s="103" t="s">
        <v>238</v>
      </c>
      <c r="Z62" s="103" t="s">
        <v>237</v>
      </c>
      <c r="AA62" s="103" t="s">
        <v>236</v>
      </c>
      <c r="AB62" s="103" t="s">
        <v>241</v>
      </c>
      <c r="AC62" s="103" t="s">
        <v>240</v>
      </c>
      <c r="AD62" s="103" t="s">
        <v>239</v>
      </c>
      <c r="AE62" s="103" t="s">
        <v>235</v>
      </c>
      <c r="AF62" s="103" t="s">
        <v>712</v>
      </c>
      <c r="AG62" s="5"/>
      <c r="AH62" s="25" t="s">
        <v>707</v>
      </c>
      <c r="AI62" s="29">
        <f>Z66</f>
        <v>82405</v>
      </c>
      <c r="AJ62" s="29">
        <f>AA66</f>
        <v>14140</v>
      </c>
      <c r="AK62" s="29">
        <f>AB66</f>
        <v>20985</v>
      </c>
      <c r="AL62" s="29">
        <f>SUM(Y66,AC66:AD66)</f>
        <v>16625</v>
      </c>
      <c r="AM62" s="29">
        <f>SUM(Y66:AD66)</f>
        <v>134155</v>
      </c>
      <c r="AN62" s="29">
        <f>AE66</f>
        <v>368145</v>
      </c>
      <c r="AO62" s="29">
        <f>AF66</f>
        <v>502295</v>
      </c>
      <c r="AP62" s="5"/>
    </row>
    <row r="63" spans="24:44">
      <c r="X63" s="25"/>
      <c r="Y63" s="25"/>
      <c r="Z63" s="25"/>
      <c r="AA63" s="25"/>
      <c r="AB63" s="25"/>
      <c r="AC63" s="25"/>
      <c r="AD63" s="25"/>
      <c r="AE63" s="25"/>
      <c r="AF63" s="25"/>
      <c r="AG63" s="5"/>
      <c r="AH63" s="25"/>
      <c r="AI63" s="5"/>
      <c r="AJ63" s="5"/>
      <c r="AK63" s="5"/>
      <c r="AL63" s="5"/>
      <c r="AM63" s="5"/>
      <c r="AN63" s="5"/>
      <c r="AO63" s="5"/>
      <c r="AP63" s="5"/>
    </row>
    <row r="64" spans="24:44">
      <c r="X64" s="25"/>
      <c r="Y64" s="25"/>
      <c r="Z64" s="25"/>
      <c r="AA64" s="25"/>
      <c r="AB64" s="25"/>
      <c r="AC64" s="25"/>
      <c r="AD64" s="25"/>
      <c r="AE64" s="25"/>
      <c r="AF64" s="25"/>
      <c r="AG64" s="5"/>
      <c r="AH64" s="25"/>
      <c r="AI64" s="5"/>
      <c r="AJ64" s="5"/>
      <c r="AK64" s="5"/>
      <c r="AL64" s="5"/>
      <c r="AM64" s="5"/>
      <c r="AN64" s="5"/>
      <c r="AO64" s="5"/>
      <c r="AP64" s="5"/>
    </row>
    <row r="65" spans="2:42">
      <c r="X65" s="5"/>
      <c r="Y65" t="s">
        <v>186</v>
      </c>
      <c r="Z65" t="s">
        <v>145</v>
      </c>
      <c r="AA65" t="s">
        <v>139</v>
      </c>
      <c r="AB65" t="s">
        <v>157</v>
      </c>
      <c r="AC65" t="s">
        <v>151</v>
      </c>
      <c r="AD65" t="s">
        <v>187</v>
      </c>
      <c r="AE65" t="s">
        <v>136</v>
      </c>
      <c r="AF65" s="5"/>
      <c r="AG65" s="5"/>
      <c r="AH65" s="25"/>
      <c r="AI65" s="5"/>
      <c r="AJ65" s="5"/>
      <c r="AK65" s="5"/>
      <c r="AL65" s="5"/>
      <c r="AM65" s="5"/>
      <c r="AN65" s="5"/>
      <c r="AO65" s="5"/>
      <c r="AP65" s="5"/>
    </row>
    <row r="66" spans="2:42" ht="15">
      <c r="X66" s="25" t="s">
        <v>707</v>
      </c>
      <c r="Y66" s="2">
        <v>1590</v>
      </c>
      <c r="Z66" s="2">
        <v>82405</v>
      </c>
      <c r="AA66" s="2">
        <v>14140</v>
      </c>
      <c r="AB66" s="2">
        <v>20985</v>
      </c>
      <c r="AC66" s="2">
        <v>14100</v>
      </c>
      <c r="AD66" s="2">
        <v>935</v>
      </c>
      <c r="AE66" s="2">
        <v>368145</v>
      </c>
      <c r="AF66" s="2">
        <v>502295</v>
      </c>
      <c r="AG66" s="5"/>
      <c r="AH66" s="25"/>
      <c r="AI66" s="5"/>
      <c r="AJ66" s="5"/>
      <c r="AK66" s="5"/>
      <c r="AL66" s="5"/>
      <c r="AM66" s="5"/>
      <c r="AN66" s="5"/>
      <c r="AO66" s="5"/>
      <c r="AP66" s="5"/>
    </row>
    <row r="67" spans="2:42" ht="15">
      <c r="B67" s="269" t="s">
        <v>711</v>
      </c>
      <c r="X67" s="25"/>
      <c r="Y67" s="25"/>
      <c r="Z67" s="25"/>
      <c r="AA67" s="25"/>
      <c r="AB67" s="25"/>
      <c r="AC67" s="25"/>
      <c r="AD67" s="25"/>
      <c r="AE67" s="25"/>
      <c r="AF67" s="25"/>
      <c r="AG67" s="5"/>
      <c r="AP67" s="29"/>
    </row>
    <row r="68" spans="2:42">
      <c r="B68" s="269"/>
      <c r="C68" s="269"/>
      <c r="D68" s="269"/>
      <c r="E68" s="269"/>
      <c r="F68" s="269"/>
      <c r="G68" s="269"/>
      <c r="H68" s="269"/>
      <c r="I68" s="269"/>
      <c r="J68" s="269"/>
      <c r="K68" s="269"/>
      <c r="L68" s="269"/>
      <c r="AG68" s="5"/>
      <c r="AH68" s="5"/>
      <c r="AI68" s="5"/>
      <c r="AJ68" s="5"/>
      <c r="AK68" s="5"/>
      <c r="AL68" s="5"/>
      <c r="AM68" s="5"/>
      <c r="AN68" s="5"/>
      <c r="AO68" s="5"/>
      <c r="AP68" s="5"/>
    </row>
    <row r="69" spans="2:42" ht="18.75" customHeight="1">
      <c r="B69" s="292" t="str">
        <f>"Chart 17. "&amp;City_label&amp;" percent owner and renter households by race and ethnicity, 2019 "</f>
        <v xml:space="preserve">Chart 17. Algona percent owner and renter households by race and ethnicity, 2019 </v>
      </c>
      <c r="C69" s="292"/>
      <c r="D69" s="292"/>
      <c r="E69" s="292"/>
      <c r="F69" s="292"/>
      <c r="G69" s="292"/>
      <c r="H69" s="292"/>
      <c r="I69" s="292"/>
      <c r="J69" s="292"/>
      <c r="K69" s="292"/>
      <c r="AH69" s="5"/>
      <c r="AI69" s="5"/>
      <c r="AJ69" s="5"/>
      <c r="AK69" s="5"/>
      <c r="AL69" s="5"/>
      <c r="AM69" s="5"/>
      <c r="AN69" s="5"/>
      <c r="AO69" s="5"/>
      <c r="AP69" s="5"/>
    </row>
    <row r="70" spans="2:42" ht="18.75" customHeight="1">
      <c r="B70" s="292"/>
      <c r="C70" s="292"/>
      <c r="D70" s="292"/>
      <c r="E70" s="292"/>
      <c r="F70" s="292"/>
      <c r="G70" s="292"/>
      <c r="H70" s="292"/>
      <c r="I70" s="292"/>
      <c r="J70" s="292"/>
      <c r="K70" s="292"/>
      <c r="X70" s="140" t="s">
        <v>566</v>
      </c>
      <c r="AH70" s="140" t="s">
        <v>242</v>
      </c>
      <c r="AI70" s="29"/>
      <c r="AJ70" s="5"/>
      <c r="AK70" s="5"/>
      <c r="AL70" s="5"/>
      <c r="AM70" s="5"/>
      <c r="AN70" s="5"/>
      <c r="AO70" s="5"/>
      <c r="AP70" s="5"/>
    </row>
    <row r="71" spans="2:42" ht="21.75" customHeight="1">
      <c r="Y71" s="49" t="s">
        <v>84</v>
      </c>
      <c r="Z71" s="49" t="s">
        <v>84</v>
      </c>
      <c r="AA71" s="49" t="s">
        <v>84</v>
      </c>
      <c r="AB71" s="49" t="s">
        <v>84</v>
      </c>
      <c r="AC71" s="49" t="s">
        <v>84</v>
      </c>
      <c r="AD71" s="49" t="s">
        <v>84</v>
      </c>
      <c r="AE71" s="49" t="s">
        <v>84</v>
      </c>
      <c r="AF71" s="49" t="s">
        <v>84</v>
      </c>
      <c r="AH71" s="5"/>
      <c r="AI71" s="5"/>
      <c r="AJ71" s="5"/>
      <c r="AK71" s="5"/>
      <c r="AL71" s="5"/>
      <c r="AM71" s="5"/>
      <c r="AN71" s="5"/>
      <c r="AO71" s="5"/>
      <c r="AP71" s="5"/>
    </row>
    <row r="72" spans="2:42" ht="21.75" customHeight="1">
      <c r="Y72" s="25" t="s">
        <v>186</v>
      </c>
      <c r="Z72" s="25" t="s">
        <v>145</v>
      </c>
      <c r="AA72" s="25" t="s">
        <v>139</v>
      </c>
      <c r="AB72" s="25" t="s">
        <v>157</v>
      </c>
      <c r="AC72" s="25" t="s">
        <v>151</v>
      </c>
      <c r="AD72" s="25" t="s">
        <v>187</v>
      </c>
      <c r="AE72" s="25" t="s">
        <v>136</v>
      </c>
      <c r="AH72" s="5"/>
      <c r="AI72" s="243" t="s">
        <v>145</v>
      </c>
      <c r="AJ72" s="25" t="s">
        <v>139</v>
      </c>
      <c r="AK72" s="25" t="s">
        <v>709</v>
      </c>
      <c r="AL72" s="25" t="s">
        <v>151</v>
      </c>
      <c r="AM72" s="25" t="s">
        <v>706</v>
      </c>
      <c r="AN72" s="25" t="s">
        <v>136</v>
      </c>
      <c r="AO72" s="25" t="s">
        <v>189</v>
      </c>
      <c r="AP72" s="5"/>
    </row>
    <row r="73" spans="2:42" ht="14.25" customHeight="1">
      <c r="X73" s="25" t="s">
        <v>707</v>
      </c>
      <c r="Y73" s="103" t="s">
        <v>275</v>
      </c>
      <c r="Z73" s="103" t="s">
        <v>274</v>
      </c>
      <c r="AA73" s="103" t="s">
        <v>273</v>
      </c>
      <c r="AB73" s="103" t="s">
        <v>278</v>
      </c>
      <c r="AC73" s="103" t="s">
        <v>277</v>
      </c>
      <c r="AD73" s="103" t="s">
        <v>276</v>
      </c>
      <c r="AE73" s="103" t="s">
        <v>272</v>
      </c>
      <c r="AF73" s="103" t="s">
        <v>713</v>
      </c>
      <c r="AH73" s="25" t="s">
        <v>707</v>
      </c>
      <c r="AI73" s="29">
        <f>Z77</f>
        <v>57305</v>
      </c>
      <c r="AJ73" s="29">
        <f>AA77</f>
        <v>36400</v>
      </c>
      <c r="AK73" s="29">
        <f>AB77</f>
        <v>39375</v>
      </c>
      <c r="AL73" s="29">
        <f>SUM(Y77, AC77:AD77)</f>
        <v>26325</v>
      </c>
      <c r="AM73" s="29">
        <f>SUM(Y77:AD77)</f>
        <v>159405</v>
      </c>
      <c r="AN73" s="29">
        <f>AE77</f>
        <v>220330</v>
      </c>
      <c r="AO73" s="29">
        <f>AF77</f>
        <v>379735</v>
      </c>
      <c r="AP73" s="5"/>
    </row>
    <row r="74" spans="2:42" ht="19.5" customHeight="1">
      <c r="X74" s="25"/>
      <c r="Y74" s="25"/>
      <c r="Z74" s="25"/>
      <c r="AA74" s="25"/>
      <c r="AB74" s="25"/>
      <c r="AC74" s="25"/>
      <c r="AD74" s="25"/>
      <c r="AE74" s="25"/>
      <c r="AF74" s="25"/>
      <c r="AH74" s="25"/>
      <c r="AI74" s="5"/>
      <c r="AJ74" s="5"/>
      <c r="AK74" s="5"/>
      <c r="AL74" s="5"/>
      <c r="AM74" s="5"/>
      <c r="AN74" s="5"/>
      <c r="AO74" s="5"/>
      <c r="AP74" s="5"/>
    </row>
    <row r="75" spans="2:42" ht="19.5" customHeight="1">
      <c r="X75" s="25"/>
      <c r="Y75" s="25"/>
      <c r="Z75" s="25"/>
      <c r="AA75" s="25"/>
      <c r="AB75" s="25"/>
      <c r="AC75" s="25"/>
      <c r="AD75" s="25"/>
      <c r="AE75" s="25"/>
      <c r="AF75" s="25"/>
      <c r="AH75" s="25"/>
      <c r="AI75" s="5"/>
      <c r="AJ75" s="5"/>
      <c r="AK75" s="5"/>
      <c r="AL75" s="5"/>
      <c r="AM75" s="5"/>
      <c r="AN75" s="5"/>
      <c r="AO75" s="5"/>
      <c r="AP75" s="5"/>
    </row>
    <row r="76" spans="2:42">
      <c r="X76" s="5"/>
      <c r="Y76" t="s">
        <v>186</v>
      </c>
      <c r="Z76" t="s">
        <v>145</v>
      </c>
      <c r="AA76" t="s">
        <v>139</v>
      </c>
      <c r="AB76" t="s">
        <v>157</v>
      </c>
      <c r="AC76" t="s">
        <v>151</v>
      </c>
      <c r="AD76" t="s">
        <v>187</v>
      </c>
      <c r="AE76" t="s">
        <v>136</v>
      </c>
      <c r="AG76" s="5"/>
      <c r="AH76" s="25"/>
      <c r="AI76" s="5"/>
      <c r="AJ76" s="5"/>
      <c r="AK76" s="5"/>
      <c r="AL76" s="5"/>
      <c r="AM76" s="5"/>
      <c r="AN76" s="5"/>
      <c r="AO76" s="5"/>
      <c r="AP76" s="5"/>
    </row>
    <row r="77" spans="2:42" ht="15">
      <c r="X77" s="25" t="s">
        <v>707</v>
      </c>
      <c r="Y77" s="2">
        <v>2665</v>
      </c>
      <c r="Z77" s="2">
        <v>57305</v>
      </c>
      <c r="AA77" s="2">
        <v>36400</v>
      </c>
      <c r="AB77" s="2">
        <v>39375</v>
      </c>
      <c r="AC77" s="2">
        <v>20470</v>
      </c>
      <c r="AD77" s="2">
        <v>3190</v>
      </c>
      <c r="AE77" s="2">
        <v>220330</v>
      </c>
      <c r="AF77" s="2">
        <v>379735</v>
      </c>
      <c r="AG77" s="5"/>
      <c r="AH77" s="25"/>
      <c r="AI77" s="5"/>
      <c r="AJ77" s="5"/>
      <c r="AK77" s="5"/>
      <c r="AL77" s="5"/>
      <c r="AM77" s="5"/>
      <c r="AN77" s="5"/>
      <c r="AO77" s="5"/>
      <c r="AP77" s="5"/>
    </row>
    <row r="81" spans="2:12" ht="14.25" customHeight="1"/>
    <row r="90" spans="2:12" ht="20.25" customHeight="1">
      <c r="B90" s="269" t="s">
        <v>711</v>
      </c>
    </row>
    <row r="92" spans="2:12">
      <c r="C92" s="270"/>
      <c r="D92" s="270"/>
      <c r="E92" s="270"/>
      <c r="F92" s="270"/>
      <c r="G92" s="270"/>
      <c r="H92" s="270"/>
      <c r="I92" s="270"/>
      <c r="J92" s="270"/>
      <c r="K92" s="270"/>
      <c r="L92" s="270"/>
    </row>
    <row r="93" spans="2:12">
      <c r="B93" s="270"/>
      <c r="C93" s="270"/>
      <c r="D93" s="270"/>
      <c r="E93" s="270"/>
      <c r="F93" s="270"/>
      <c r="G93" s="270"/>
      <c r="H93" s="270"/>
      <c r="I93" s="270"/>
      <c r="J93" s="270"/>
      <c r="K93" s="270"/>
      <c r="L93" s="270"/>
    </row>
    <row r="95" spans="2:12" ht="18" customHeight="1">
      <c r="B95" s="292" t="str">
        <f>"Chart 17a. "&amp;City_label&amp;" percent owner and renter households by race and ethnicity, 2019 "</f>
        <v xml:space="preserve">Chart 17a. Algona percent owner and renter households by race and ethnicity, 2019 </v>
      </c>
      <c r="C95" s="292"/>
      <c r="D95" s="292"/>
      <c r="E95" s="292"/>
      <c r="F95" s="292"/>
      <c r="G95" s="292"/>
      <c r="H95" s="292"/>
      <c r="I95" s="292"/>
      <c r="J95" s="292"/>
      <c r="K95" s="292"/>
    </row>
    <row r="96" spans="2:12" ht="18" customHeight="1">
      <c r="B96" s="292"/>
      <c r="C96" s="292"/>
      <c r="D96" s="292"/>
      <c r="E96" s="292"/>
      <c r="F96" s="292"/>
      <c r="G96" s="292"/>
      <c r="H96" s="292"/>
      <c r="I96" s="292"/>
      <c r="J96" s="292"/>
      <c r="K96" s="292"/>
    </row>
    <row r="97" spans="2:12" ht="21.75" customHeight="1"/>
    <row r="98" spans="2:12" ht="21.75" customHeight="1"/>
    <row r="100" spans="2:12" ht="19.5" customHeight="1"/>
    <row r="101" spans="2:12" ht="19.5" customHeight="1"/>
    <row r="111" spans="2:12">
      <c r="B111" s="269" t="s">
        <v>711</v>
      </c>
      <c r="C111" s="269"/>
      <c r="D111" s="269"/>
      <c r="E111" s="269"/>
      <c r="F111" s="269"/>
      <c r="G111" s="269"/>
      <c r="H111" s="269"/>
      <c r="I111" s="269"/>
      <c r="J111" s="269"/>
      <c r="K111" s="269"/>
      <c r="L111" s="270"/>
    </row>
    <row r="112" spans="2:12">
      <c r="B112" s="269"/>
      <c r="C112" s="269"/>
      <c r="D112" s="269"/>
      <c r="E112" s="269"/>
      <c r="F112" s="269"/>
      <c r="G112" s="269"/>
      <c r="H112" s="269"/>
      <c r="I112" s="269"/>
      <c r="J112" s="269"/>
      <c r="K112" s="269"/>
      <c r="L112" s="270"/>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schemas.openxmlformats.org/package/2006/metadata/core-properties"/>
    <ds:schemaRef ds:uri="08070d79-41db-40ac-93d9-3fd8f1a76dba"/>
    <ds:schemaRef ds:uri="http://schemas.microsoft.com/office/2006/documentManagement/types"/>
    <ds:schemaRef ds:uri="http://www.w3.org/XML/1998/namespace"/>
    <ds:schemaRef ds:uri="http://schemas.microsoft.com/office/2006/metadata/properties"/>
    <ds:schemaRef ds:uri="http://purl.org/dc/terms/"/>
    <ds:schemaRef ds:uri="http://purl.org/dc/elements/1.1/"/>
    <ds:schemaRef ds:uri="http://purl.org/dc/dcmitype/"/>
    <ds:schemaRef ds:uri="http://schemas.microsoft.com/office/infopath/2007/PartnerControls"/>
    <ds:schemaRef ds:uri="8556b74b-f608-4f00-b474-15eeb07aa7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About</vt:lpstr>
      <vt:lpstr>Inputs</vt:lpstr>
      <vt:lpstr>Readme</vt:lpstr>
      <vt:lpstr>Racial Composition</vt:lpstr>
      <vt:lpstr>Cost Burden</vt:lpstr>
      <vt:lpstr>Rental Affordability</vt:lpstr>
      <vt:lpstr>Income</vt:lpstr>
      <vt:lpstr>Tenure</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2023-05-22T15:13:17Z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