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286" l="1"/>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AG37" i="284"/>
  <c r="AH37" i="284" s="1"/>
  <c r="AD79" i="284"/>
  <c r="AI5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K14" i="286"/>
  <c r="AE66" i="284"/>
  <c r="AI66" i="284" s="1"/>
  <c r="M15" i="283"/>
  <c r="H23" i="283"/>
  <c r="J17" i="286"/>
  <c r="AD78" i="284"/>
  <c r="AG78" i="284" s="1"/>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<sst xmlns="http://schemas.openxmlformats.org/spreadsheetml/2006/main" count="5379" uniqueCount="2858">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</sst>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3">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98C6B97C-13A8-4FFF-9555-27F2AA0A48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CAAB24C4-2F74-4CFF-A8CB-A229C9A6F9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FD45D7D1-AA30-444E-9D69-EA049C75EC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F686533C-EF9A-47E2-A06B-FCF19D9D8B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703CEB14-7D7D-4C8B-9CAE-75CC73A591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302</c:v>
                </c:pt>
                <c:pt idx="1">
                  <c:v>36</c:v>
                </c:pt>
                <c:pt idx="2">
                  <c:v>1347</c:v>
                </c:pt>
                <c:pt idx="3">
                  <c:v>392</c:v>
                </c:pt>
                <c:pt idx="4">
                  <c:v>5084</c:v>
                </c:pt>
              </c:numCache>
            </c:numRef>
          </c:val>
          <c:extLst>
            <c:ext xmlns:c15="http://schemas.microsoft.com/office/drawing/2012/chart" uri="{02D57815-91ED-43cb-92C2-25804820EDAC}">
              <c15:datalabelsRange>
                <c15:f>'Racial Composition'!$AI$26:$AI$30</c15:f>
                <c15:dlblRangeCache>
                  <c:ptCount val="5"/>
                  <c:pt idx="0">
                    <c:v>302
(4%)</c:v>
                  </c:pt>
                  <c:pt idx="1">
                    <c:v>36
(1%)</c:v>
                  </c:pt>
                  <c:pt idx="2">
                    <c:v>1,347
(19%)</c:v>
                  </c:pt>
                  <c:pt idx="3">
                    <c:v>392
(5%)</c:v>
                  </c:pt>
                  <c:pt idx="4">
                    <c:v>5,084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30</c:v>
                </c:pt>
                <c:pt idx="1">
                  <c:v>0</c:v>
                </c:pt>
                <c:pt idx="2">
                  <c:v>0</c:v>
                </c:pt>
                <c:pt idx="3">
                  <c:v>0</c:v>
                </c:pt>
                <c:pt idx="4">
                  <c:v>145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65</c:v>
                </c:pt>
                <c:pt idx="1">
                  <c:v>15</c:v>
                </c:pt>
                <c:pt idx="2">
                  <c:v>120</c:v>
                </c:pt>
                <c:pt idx="3">
                  <c:v>15</c:v>
                </c:pt>
                <c:pt idx="4">
                  <c:v>1330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45</c:v>
                </c:pt>
                <c:pt idx="1">
                  <c:v>45</c:v>
                </c:pt>
                <c:pt idx="2">
                  <c:v>315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30</c:v>
                </c:pt>
                <c:pt idx="2">
                  <c:v>270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120</c:v>
                </c:pt>
                <c:pt idx="1">
                  <c:v>215</c:v>
                </c:pt>
                <c:pt idx="2">
                  <c:v>1725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30</c:v>
                </c:pt>
                <c:pt idx="2">
                  <c:v>145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120</c:v>
                </c:pt>
                <c:pt idx="1">
                  <c:v>215</c:v>
                </c:pt>
                <c:pt idx="2">
                  <c:v>1330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45</c:v>
                </c:pt>
                <c:pt idx="1">
                  <c:v>45</c:v>
                </c:pt>
                <c:pt idx="2">
                  <c:v>185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0.27272727272727271</c:v>
                </c:pt>
                <c:pt idx="1">
                  <c:v>0.15517241379310345</c:v>
                </c:pt>
                <c:pt idx="2">
                  <c:v>0.13636363636363635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0.10344827586206896</c:v>
                </c:pt>
                <c:pt idx="2">
                  <c:v>0.11688311688311688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0.72727272727272729</c:v>
                </c:pt>
                <c:pt idx="1">
                  <c:v>0.74137931034482762</c:v>
                </c:pt>
                <c:pt idx="2">
                  <c:v>0.74675324675324672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0.27272727272727271</c:v>
                </c:pt>
                <c:pt idx="3">
                  <c:v>0</c:v>
                </c:pt>
                <c:pt idx="4">
                  <c:v>0.15517241379310345</c:v>
                </c:pt>
                <c:pt idx="5">
                  <c:v>0.13636363636363635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0.31578947368421051</c:v>
                </c:pt>
                <c:pt idx="1">
                  <c:v>0</c:v>
                </c:pt>
                <c:pt idx="2">
                  <c:v>0</c:v>
                </c:pt>
                <c:pt idx="3">
                  <c:v>0</c:v>
                </c:pt>
                <c:pt idx="4">
                  <c:v>0.10344827586206896</c:v>
                </c:pt>
                <c:pt idx="5">
                  <c:v>0.11688311688311688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0.68421052631578949</c:v>
                </c:pt>
                <c:pt idx="1">
                  <c:v>1</c:v>
                </c:pt>
                <c:pt idx="2">
                  <c:v>0.72727272727272729</c:v>
                </c:pt>
                <c:pt idx="3">
                  <c:v>1</c:v>
                </c:pt>
                <c:pt idx="4">
                  <c:v>0.74137931034482762</c:v>
                </c:pt>
                <c:pt idx="5">
                  <c:v>0.74675324675324672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0.27272727272727271</c:v>
                </c:pt>
                <c:pt idx="1">
                  <c:v>0.15517241379310345</c:v>
                </c:pt>
                <c:pt idx="2">
                  <c:v>0.13636363636363635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0.10344827586206896</c:v>
                </c:pt>
                <c:pt idx="2">
                  <c:v>0.11688311688311688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0.72727272727272729</c:v>
                </c:pt>
                <c:pt idx="1">
                  <c:v>0.74137931034482762</c:v>
                </c:pt>
                <c:pt idx="2">
                  <c:v>0.74675324675324672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0.26241134751773049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0.1773049645390071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0.56028368794326244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0.38</c:v>
                </c:pt>
                <c:pt idx="1">
                  <c:v>0.16783216783216784</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0.17333333333333334</c:v>
                </c:pt>
                <c:pt idx="1">
                  <c:v>0.36363636363636365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5.3333333333333337E-2</c:v>
                </c:pt>
                <c:pt idx="1">
                  <c:v>0.15384615384615385</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c:v>
                </c:pt>
                <c:pt idx="1">
                  <c:v>0.31468531468531469</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75</c:v>
                </c:pt>
                <c:pt idx="2">
                  <c:v>-145</c:v>
                </c:pt>
                <c:pt idx="3">
                  <c:v>455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140</c:v>
                </c:pt>
                <c:pt idx="2">
                  <c:v>-320</c:v>
                </c:pt>
                <c:pt idx="3">
                  <c:v>545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CC9A85D8-604A-4E37-9476-AD8C9CA3B5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62EEA0A7-B516-4F2A-A15C-CFBB26109F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2FD6C45-F93E-47AE-8915-7070C3103F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A565771-AA3A-495D-A4A1-B0879E70E3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91</c:v>
                </c:pt>
                <c:pt idx="1">
                  <c:v>231</c:v>
                </c:pt>
                <c:pt idx="2">
                  <c:v>91</c:v>
                </c:pt>
                <c:pt idx="3">
                  <c:v>636</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+65 units</c:v>
                  </c:pt>
                  <c:pt idx="2">
                    <c:v>Difference:
-175 units</c:v>
                  </c:pt>
                  <c:pt idx="3">
                    <c:v>Difference:
+90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Bend</c:v>
                </c:pt>
                <c:pt idx="1">
                  <c:v>King County</c:v>
                </c:pt>
              </c:strCache>
            </c:strRef>
          </c:cat>
          <c:val>
            <c:numRef>
              <c:f>('Racial Composition'!$AH$30,'Racial Composition'!$AN$30)</c:f>
              <c:numCache>
                <c:formatCode>0%</c:formatCode>
                <c:ptCount val="2"/>
                <c:pt idx="0">
                  <c:v>0.70995670995671001</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Bend</c:v>
                </c:pt>
                <c:pt idx="1">
                  <c:v>King County</c:v>
                </c:pt>
              </c:strCache>
            </c:strRef>
          </c:cat>
          <c:val>
            <c:numRef>
              <c:f>('Racial Composition'!$AH$29,'Racial Composition'!$AN$29)</c:f>
              <c:numCache>
                <c:formatCode>0%</c:formatCode>
                <c:ptCount val="2"/>
                <c:pt idx="0">
                  <c:v>5.4740957966764418E-2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Bend</c:v>
                </c:pt>
                <c:pt idx="1">
                  <c:v>King County</c:v>
                </c:pt>
              </c:strCache>
            </c:strRef>
          </c:cat>
          <c:val>
            <c:numRef>
              <c:f>('Racial Composition'!$AH$28,'Racial Composition'!$AN$28)</c:f>
              <c:numCache>
                <c:formatCode>0%</c:formatCode>
                <c:ptCount val="2"/>
                <c:pt idx="0">
                  <c:v>0.18810222036028487</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Bend</c:v>
                </c:pt>
                <c:pt idx="1">
                  <c:v>King County</c:v>
                </c:pt>
              </c:strCache>
            </c:strRef>
          </c:cat>
          <c:val>
            <c:numRef>
              <c:f>('Racial Composition'!$AH$27,'Racial Composition'!$AN$27)</c:f>
              <c:numCache>
                <c:formatCode>0%</c:formatCode>
                <c:ptCount val="2"/>
                <c:pt idx="0">
                  <c:v>5.0272308336824466E-3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Bend</c:v>
                </c:pt>
                <c:pt idx="1">
                  <c:v>King County</c:v>
                </c:pt>
              </c:strCache>
            </c:strRef>
          </c:cat>
          <c:val>
            <c:numRef>
              <c:f>('Racial Composition'!$AH$26,'Racial Composition'!$AN$26)</c:f>
              <c:numCache>
                <c:formatCode>0%</c:formatCode>
                <c:ptCount val="2"/>
                <c:pt idx="0">
                  <c:v>4.21728808825583E-2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285</c:v>
                </c:pt>
                <c:pt idx="1">
                  <c:v>130</c:v>
                </c:pt>
                <c:pt idx="2">
                  <c:v>40</c:v>
                </c:pt>
                <c:pt idx="3">
                  <c:v>285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120</c:v>
                </c:pt>
                <c:pt idx="1">
                  <c:v>260</c:v>
                </c:pt>
                <c:pt idx="2">
                  <c:v>110</c:v>
                </c:pt>
                <c:pt idx="3">
                  <c:v>225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04546E2-13B9-4965-A18B-10C2AF284F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AE06BD7-05F3-43D1-AAD8-5720DBEAC7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48495FB3-26F9-4F83-A061-26DC23B319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8C42D899-4523-41B0-B027-AD74BCFC89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313.5</c:v>
                </c:pt>
                <c:pt idx="1">
                  <c:v>288.5</c:v>
                </c:pt>
                <c:pt idx="2">
                  <c:v>138.5</c:v>
                </c:pt>
                <c:pt idx="3">
                  <c:v>313.5</c:v>
                </c:pt>
              </c:numCache>
            </c:numRef>
          </c:val>
          <c:smooth val="0"/>
          <c:extLst>
            <c:ext xmlns:c15="http://schemas.microsoft.com/office/drawing/2012/chart" uri="{02D57815-91ED-43cb-92C2-25804820EDAC}">
              <c15:datalabelsRange>
                <c15:f>'Rental Affordability'!$AI$35:$AI$38</c15:f>
                <c15:dlblRangeCache>
                  <c:ptCount val="4"/>
                  <c:pt idx="0">
                    <c:v>Shortfall:
-165 units</c:v>
                  </c:pt>
                  <c:pt idx="1">
                    <c:v>Surplus: 
+130 units</c:v>
                  </c:pt>
                  <c:pt idx="2">
                    <c:v>Surplus: 
+70 units</c:v>
                  </c:pt>
                  <c:pt idx="3">
                    <c:v>Shortfall:
-60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0.27272727272727271</c:v>
                </c:pt>
                <c:pt idx="3">
                  <c:v>0</c:v>
                </c:pt>
                <c:pt idx="4">
                  <c:v>0.16666666666666666</c:v>
                </c:pt>
                <c:pt idx="5">
                  <c:v>0.16506717850287908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0.27272727272727271</c:v>
                </c:pt>
                <c:pt idx="3">
                  <c:v>0</c:v>
                </c:pt>
                <c:pt idx="4">
                  <c:v>6.2770562770562768E-2</c:v>
                </c:pt>
                <c:pt idx="5">
                  <c:v>7.293666026871401E-2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5.627705627705628E-2</c:v>
                </c:pt>
                <c:pt idx="5">
                  <c:v>4.9904030710172742E-2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0.15</c:v>
                </c:pt>
                <c:pt idx="1">
                  <c:v>0</c:v>
                </c:pt>
                <c:pt idx="2">
                  <c:v>0</c:v>
                </c:pt>
                <c:pt idx="3">
                  <c:v>0</c:v>
                </c:pt>
                <c:pt idx="4">
                  <c:v>6.4935064935064929E-2</c:v>
                </c:pt>
                <c:pt idx="5">
                  <c:v>6.3339731285988479E-2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0.85</c:v>
                </c:pt>
                <c:pt idx="1">
                  <c:v>1</c:v>
                </c:pt>
                <c:pt idx="2">
                  <c:v>0.45454545454545453</c:v>
                </c:pt>
                <c:pt idx="3">
                  <c:v>0</c:v>
                </c:pt>
                <c:pt idx="4">
                  <c:v>0.64935064935064934</c:v>
                </c:pt>
                <c:pt idx="5">
                  <c:v>0.6487523992322457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45</c:v>
                </c:pt>
                <c:pt idx="4">
                  <c:v>0</c:v>
                </c:pt>
                <c:pt idx="5">
                  <c:v>385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45</c:v>
                </c:pt>
                <c:pt idx="4">
                  <c:v>0</c:v>
                </c:pt>
                <c:pt idx="5">
                  <c:v>145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0</c:v>
                </c:pt>
                <c:pt idx="4">
                  <c:v>0</c:v>
                </c:pt>
                <c:pt idx="5">
                  <c:v>150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85</c:v>
                </c:pt>
                <c:pt idx="2">
                  <c:v>15</c:v>
                </c:pt>
                <c:pt idx="3">
                  <c:v>75</c:v>
                </c:pt>
                <c:pt idx="4">
                  <c:v>0</c:v>
                </c:pt>
                <c:pt idx="5">
                  <c:v>1500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0.27272727272727271</c:v>
                </c:pt>
                <c:pt idx="1">
                  <c:v>0</c:v>
                </c:pt>
                <c:pt idx="2">
                  <c:v>0.16666666666666666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0.27272727272727271</c:v>
                </c:pt>
                <c:pt idx="1">
                  <c:v>0</c:v>
                </c:pt>
                <c:pt idx="2">
                  <c:v>6.2770562770562768E-2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5.627705627705628E-2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0.11538461538461539</c:v>
                </c:pt>
                <c:pt idx="2">
                  <c:v>6.4935064935064929E-2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0.45454545454545453</c:v>
                </c:pt>
                <c:pt idx="1">
                  <c:v>0.88461538461538458</c:v>
                </c:pt>
                <c:pt idx="2">
                  <c:v>0.64935064935064934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45</c:v>
                </c:pt>
                <c:pt idx="1">
                  <c:v>0</c:v>
                </c:pt>
                <c:pt idx="2">
                  <c:v>385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45</c:v>
                </c:pt>
                <c:pt idx="1">
                  <c:v>0</c:v>
                </c:pt>
                <c:pt idx="2">
                  <c:v>145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15</c:v>
                </c:pt>
                <c:pt idx="2">
                  <c:v>150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c:v>
                </c:pt>
                <c:pt idx="1">
                  <c:v>115</c:v>
                </c:pt>
                <c:pt idx="2">
                  <c:v>1500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0.21710526315789475</c:v>
                </c:pt>
                <c:pt idx="2">
                  <c:v>0.16506717850287908</c:v>
                </c:pt>
                <c:pt idx="4">
                  <c:v>0</c:v>
                </c:pt>
                <c:pt idx="5">
                  <c:v>0</c:v>
                </c:pt>
                <c:pt idx="7">
                  <c:v>0</c:v>
                </c:pt>
                <c:pt idx="8">
                  <c:v>0</c:v>
                </c:pt>
                <c:pt idx="10">
                  <c:v>0.87878787878787878</c:v>
                </c:pt>
                <c:pt idx="11">
                  <c:v>0.27272727272727271</c:v>
                </c:pt>
                <c:pt idx="13">
                  <c:v>0.4</c:v>
                </c:pt>
                <c:pt idx="14">
                  <c:v>0</c:v>
                </c:pt>
                <c:pt idx="16">
                  <c:v>0.15960099750623441</c:v>
                </c:pt>
                <c:pt idx="17">
                  <c:v>0.16666666666666666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4.6052631578947366E-2</c:v>
                </c:pt>
                <c:pt idx="2">
                  <c:v>7.293666026871401E-2</c:v>
                </c:pt>
                <c:pt idx="4">
                  <c:v>0</c:v>
                </c:pt>
                <c:pt idx="5">
                  <c:v>0</c:v>
                </c:pt>
                <c:pt idx="7">
                  <c:v>0.5</c:v>
                </c:pt>
                <c:pt idx="8">
                  <c:v>0</c:v>
                </c:pt>
                <c:pt idx="10">
                  <c:v>0</c:v>
                </c:pt>
                <c:pt idx="11">
                  <c:v>0.27272727272727271</c:v>
                </c:pt>
                <c:pt idx="13">
                  <c:v>0</c:v>
                </c:pt>
                <c:pt idx="14">
                  <c:v>0</c:v>
                </c:pt>
                <c:pt idx="16">
                  <c:v>4.488778054862843E-2</c:v>
                </c:pt>
                <c:pt idx="17">
                  <c:v>6.2770562770562768E-2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0.11842105263157894</c:v>
                </c:pt>
                <c:pt idx="2">
                  <c:v>4.9904030710172742E-2</c:v>
                </c:pt>
                <c:pt idx="4">
                  <c:v>0</c:v>
                </c:pt>
                <c:pt idx="5">
                  <c:v>0</c:v>
                </c:pt>
                <c:pt idx="7">
                  <c:v>0</c:v>
                </c:pt>
                <c:pt idx="8">
                  <c:v>0</c:v>
                </c:pt>
                <c:pt idx="10">
                  <c:v>0</c:v>
                </c:pt>
                <c:pt idx="11">
                  <c:v>0</c:v>
                </c:pt>
                <c:pt idx="13">
                  <c:v>0</c:v>
                </c:pt>
                <c:pt idx="14">
                  <c:v>0</c:v>
                </c:pt>
                <c:pt idx="16">
                  <c:v>0.13466334164588528</c:v>
                </c:pt>
                <c:pt idx="17">
                  <c:v>5.627705627705628E-2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5.4824561403508769E-2</c:v>
                </c:pt>
                <c:pt idx="2">
                  <c:v>6.3339731285988479E-2</c:v>
                </c:pt>
                <c:pt idx="4">
                  <c:v>0</c:v>
                </c:pt>
                <c:pt idx="5">
                  <c:v>0.15</c:v>
                </c:pt>
                <c:pt idx="7">
                  <c:v>0</c:v>
                </c:pt>
                <c:pt idx="8">
                  <c:v>0</c:v>
                </c:pt>
                <c:pt idx="10">
                  <c:v>0</c:v>
                </c:pt>
                <c:pt idx="11">
                  <c:v>0</c:v>
                </c:pt>
                <c:pt idx="13">
                  <c:v>0</c:v>
                </c:pt>
                <c:pt idx="14">
                  <c:v>0</c:v>
                </c:pt>
                <c:pt idx="16">
                  <c:v>6.2344139650872821E-2</c:v>
                </c:pt>
                <c:pt idx="17">
                  <c:v>6.4935064935064929E-2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0.56359649122807021</c:v>
                </c:pt>
                <c:pt idx="2">
                  <c:v>0.6487523992322457</c:v>
                </c:pt>
                <c:pt idx="4">
                  <c:v>0</c:v>
                </c:pt>
                <c:pt idx="5">
                  <c:v>0.85</c:v>
                </c:pt>
                <c:pt idx="7">
                  <c:v>0.5</c:v>
                </c:pt>
                <c:pt idx="8">
                  <c:v>1</c:v>
                </c:pt>
                <c:pt idx="10">
                  <c:v>0.12121212121212122</c:v>
                </c:pt>
                <c:pt idx="11">
                  <c:v>0.45454545454545453</c:v>
                </c:pt>
                <c:pt idx="13">
                  <c:v>0.6</c:v>
                </c:pt>
                <c:pt idx="14">
                  <c:v>1</c:v>
                </c:pt>
                <c:pt idx="16">
                  <c:v>0.59850374064837908</c:v>
                </c:pt>
                <c:pt idx="17">
                  <c:v>0.64935064935064934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95</c:v>
                </c:pt>
                <c:pt idx="1">
                  <c:v>15</c:v>
                </c:pt>
                <c:pt idx="2">
                  <c:v>120</c:v>
                </c:pt>
                <c:pt idx="3">
                  <c:v>15</c:v>
                </c:pt>
                <c:pt idx="4">
                  <c:v>1605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45</c:v>
                </c:pt>
                <c:pt idx="3">
                  <c:v>0</c:v>
                </c:pt>
                <c:pt idx="4">
                  <c:v>705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120</c:v>
                </c:pt>
                <c:pt idx="1">
                  <c:v>125</c:v>
                </c:pt>
                <c:pt idx="2">
                  <c:v>1605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c:v>
                </c:pt>
                <c:pt idx="1">
                  <c:v>0</c:v>
                </c:pt>
                <c:pt idx="2">
                  <c:v>705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0.72727272727272729</c:v>
                </c:pt>
                <c:pt idx="3">
                  <c:v>1</c:v>
                </c:pt>
                <c:pt idx="4">
                  <c:v>0.69480519480519476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0.27272727272727271</c:v>
                </c:pt>
                <c:pt idx="3">
                  <c:v>0</c:v>
                </c:pt>
                <c:pt idx="4">
                  <c:v>0.30519480519480519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0.72727272727272729</c:v>
                </c:pt>
                <c:pt idx="1">
                  <c:v>1</c:v>
                </c:pt>
                <c:pt idx="2">
                  <c:v>0.69480519480519476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0.27272727272727271</c:v>
                </c:pt>
                <c:pt idx="1">
                  <c:v>0</c:v>
                </c:pt>
                <c:pt idx="2">
                  <c:v>0.30519480519480519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Bend</c:v>
                  </c:pt>
                  <c:pt idx="2">
                    <c:v>King County</c:v>
                  </c:pt>
                </c:lvl>
              </c:multiLvlStrCache>
            </c:multiLvlStrRef>
          </c:cat>
          <c:val>
            <c:numRef>
              <c:f>('Racial Composition'!$AG$39:$AH$39,'Racial Composition'!$AM$39:$AN$39)</c:f>
              <c:numCache>
                <c:formatCode>0%</c:formatCode>
                <c:ptCount val="4"/>
                <c:pt idx="0">
                  <c:v>0.88088818398096747</c:v>
                </c:pt>
                <c:pt idx="1">
                  <c:v>0.70995670995671001</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Bend</c:v>
                  </c:pt>
                  <c:pt idx="2">
                    <c:v>King County</c:v>
                  </c:pt>
                </c:lvl>
              </c:multiLvlStrCache>
            </c:multiLvlStrRef>
          </c:cat>
          <c:val>
            <c:numRef>
              <c:f>('Racial Composition'!$AG$38:$AH$38,'Racial Composition'!$AM$38:$AN$38)</c:f>
              <c:numCache>
                <c:formatCode>0%</c:formatCode>
                <c:ptCount val="4"/>
                <c:pt idx="0">
                  <c:v>4.2664551942902459E-2</c:v>
                </c:pt>
                <c:pt idx="1">
                  <c:v>0.10194106968300518</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Bend</c:v>
                  </c:pt>
                  <c:pt idx="2">
                    <c:v>King County</c:v>
                  </c:pt>
                </c:lvl>
              </c:multiLvlStrCache>
            </c:multiLvlStrRef>
          </c:cat>
          <c:val>
            <c:numRef>
              <c:f>('Racial Composition'!$AG$37:$AH$37,'Racial Composition'!$AM$37:$AN$37)</c:f>
              <c:numCache>
                <c:formatCode>0%</c:formatCode>
                <c:ptCount val="4"/>
                <c:pt idx="0">
                  <c:v>7.6447264076130061E-2</c:v>
                </c:pt>
                <c:pt idx="1">
                  <c:v>0.18810222036028487</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89166C19-31C5-404A-A493-2AFFA3D422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9B6528BD-A278-4DF5-9899-1F8D583836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1402A1B8-8B01-401A-BE2D-40056D93BA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1347</c:v>
                </c:pt>
                <c:pt idx="1">
                  <c:v>730</c:v>
                </c:pt>
                <c:pt idx="2">
                  <c:v>5084</c:v>
                </c:pt>
              </c:numCache>
            </c:numRef>
          </c:val>
          <c:extLst>
            <c:ext xmlns:c15="http://schemas.microsoft.com/office/drawing/2012/chart" uri="{02D57815-91ED-43cb-92C2-25804820EDAC}">
              <c15:datalabelsRange>
                <c15:f>'Racial Composition'!$AI$37:$AI$39</c15:f>
                <c15:dlblRangeCache>
                  <c:ptCount val="3"/>
                  <c:pt idx="0">
                    <c:v>1,347
(19%)</c:v>
                  </c:pt>
                  <c:pt idx="1">
                    <c:v>730
(10%)</c:v>
                  </c:pt>
                  <c:pt idx="2">
                    <c:v>5,084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Bend</c:v>
                </c:pt>
                <c:pt idx="1">
                  <c:v>King County</c:v>
                </c:pt>
              </c:strCache>
            </c:strRef>
          </c:cat>
          <c:val>
            <c:numRef>
              <c:f>('Racial Composition'!$AH$39,'Racial Composition'!$AN$39)</c:f>
              <c:numCache>
                <c:formatCode>0%</c:formatCode>
                <c:ptCount val="2"/>
                <c:pt idx="0">
                  <c:v>0.70995670995671001</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Bend</c:v>
                </c:pt>
                <c:pt idx="1">
                  <c:v>King County</c:v>
                </c:pt>
              </c:strCache>
            </c:strRef>
          </c:cat>
          <c:val>
            <c:numRef>
              <c:f>('Racial Composition'!$AH$38,'Racial Composition'!$AN$38)</c:f>
              <c:numCache>
                <c:formatCode>0%</c:formatCode>
                <c:ptCount val="2"/>
                <c:pt idx="0">
                  <c:v>0.10194106968300518</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Bend</c:v>
                </c:pt>
                <c:pt idx="1">
                  <c:v>King County</c:v>
                </c:pt>
              </c:strCache>
            </c:strRef>
          </c:cat>
          <c:val>
            <c:numRef>
              <c:f>('Racial Composition'!$AH$37,'Racial Composition'!$AN$37)</c:f>
              <c:numCache>
                <c:formatCode>0%</c:formatCode>
                <c:ptCount val="2"/>
                <c:pt idx="0">
                  <c:v>0.18810222036028487</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45</c:v>
                </c:pt>
                <c:pt idx="3">
                  <c:v>0</c:v>
                </c:pt>
                <c:pt idx="4">
                  <c:v>315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30</c:v>
                </c:pt>
                <c:pt idx="1">
                  <c:v>0</c:v>
                </c:pt>
                <c:pt idx="2">
                  <c:v>0</c:v>
                </c:pt>
                <c:pt idx="3">
                  <c:v>0</c:v>
                </c:pt>
                <c:pt idx="4">
                  <c:v>270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65</c:v>
                </c:pt>
                <c:pt idx="1">
                  <c:v>15</c:v>
                </c:pt>
                <c:pt idx="2">
                  <c:v>120</c:v>
                </c:pt>
                <c:pt idx="3">
                  <c:v>15</c:v>
                </c:pt>
                <c:pt idx="4">
                  <c:v>1725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45</c:v>
                </c:pt>
                <c:pt idx="3">
                  <c:v>0</c:v>
                </c:pt>
                <c:pt idx="4">
                  <c:v>185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0.27272727272727271</c:v>
                </c:pt>
                <c:pt idx="3">
                  <c:v>0</c:v>
                </c:pt>
                <c:pt idx="4">
                  <c:v>0.15517241379310345</c:v>
                </c:pt>
                <c:pt idx="5">
                  <c:v>0.13636363636363635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0.31578947368421051</c:v>
                </c:pt>
                <c:pt idx="1">
                  <c:v>0</c:v>
                </c:pt>
                <c:pt idx="2">
                  <c:v>0</c:v>
                </c:pt>
                <c:pt idx="3">
                  <c:v>0</c:v>
                </c:pt>
                <c:pt idx="4">
                  <c:v>0.10344827586206896</c:v>
                </c:pt>
                <c:pt idx="5">
                  <c:v>0.11688311688311688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0.68421052631578949</c:v>
                </c:pt>
                <c:pt idx="1">
                  <c:v>1</c:v>
                </c:pt>
                <c:pt idx="2">
                  <c:v>0.72727272727272729</c:v>
                </c:pt>
                <c:pt idx="3">
                  <c:v>1</c:v>
                </c:pt>
                <c:pt idx="4">
                  <c:v>0.74137931034482762</c:v>
                </c:pt>
                <c:pt idx="5">
                  <c:v>0.74675324675324672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1</c:v>
                </c:pt>
                <c:pt idx="5">
                  <c:v>0.26241134751773049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0.1773049645390071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0.56028368794326244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North Bend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1595</v>
      </c>
    </row>
    <row r="7" spans="2:10" ht="20.25">
      <c r="B7" s="9"/>
      <c r="C7" s="48" t="s">
        <v>8</v>
      </c>
    </row>
    <row r="8" spans="2:10" ht="20.25">
      <c r="B8" s="8" t="s">
        <v>9</v>
      </c>
      <c r="C8" s="45" t="str">
        <f>IFERROR(INDEX(GEOID[GEO_ID],MATCH(City,GEOID[NAME],0)),"(not found)")</f>
        <v>1600000US5349485</v>
      </c>
    </row>
    <row r="9" spans="2:10" ht="20.25">
      <c r="B9" s="8"/>
      <c r="C9" s="45" t="str">
        <f>IFERROR(INDEX(GEOID[GEO_ID],MATCH(County,GEOID[NAME],0)),"(not found)")</f>
        <v>0500000US53033</v>
      </c>
    </row>
    <row r="11" spans="2:10" ht="20.25">
      <c r="B11" s="8" t="s">
        <v>10</v>
      </c>
      <c r="C11" s="49" t="str">
        <f>IFERROR(INDEX(WA_CDPs[GEO_ID_CHAS],MATCH(City,WA_CDPs[NAME],0)),"(not found)")</f>
        <v>16000US5349485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North Bend</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North Bend and King County, 2015 and 2020</v>
      </c>
      <c r="E76" s="7" t="s">
        <v>105</v>
      </c>
      <c r="H76" s="42" t="s">
        <v>27</v>
      </c>
    </row>
    <row r="77" spans="2:10">
      <c r="B77" s="7" t="str">
        <f>'Racial Composition'!C74</f>
        <v>Table 2. Racial composition percentage of North Bend and King County 2015 and 2020</v>
      </c>
      <c r="E77" s="7" t="s">
        <v>105</v>
      </c>
    </row>
    <row r="78" spans="2:10">
      <c r="B78" s="7" t="str">
        <f>'Cost Burden'!C4</f>
        <v>Table 3. North Bend number of households by housing cost burden, 2019</v>
      </c>
      <c r="E78" s="7" t="s">
        <v>106</v>
      </c>
    </row>
    <row r="79" spans="2:10">
      <c r="B79" s="7" t="str">
        <f>'Cost Burden'!C173</f>
        <v>Table 4. North Bend percentage of households by housing cost burden, 2019</v>
      </c>
      <c r="E79" s="7" t="s">
        <v>106</v>
      </c>
    </row>
    <row r="80" spans="2:10">
      <c r="B80" s="7" t="str">
        <f>'Rental Affordability'!C5</f>
        <v>Table 5. North Bend and King County rental units by affordability and households by income, 2019</v>
      </c>
      <c r="E80" s="7" t="s">
        <v>107</v>
      </c>
    </row>
    <row r="81" spans="2:5">
      <c r="B81" s="7" t="str">
        <f>Income!B6</f>
        <v>Table 6. North Bend count of households by income and race, 2019</v>
      </c>
      <c r="E81" s="7" t="s">
        <v>108</v>
      </c>
    </row>
    <row r="82" spans="2:5">
      <c r="B82" s="7" t="str">
        <f>Income!B119</f>
        <v>Table 7. North Bend five year change in households by income and race, 2014 - 2019</v>
      </c>
      <c r="E82" s="7" t="s">
        <v>108</v>
      </c>
    </row>
    <row r="83" spans="2:5">
      <c r="B83" s="7" t="str">
        <f>Income!B146</f>
        <v>Table 8. North Bend five year change in distribution of households by income and race, 2014 - 2019</v>
      </c>
      <c r="E83" s="7" t="s">
        <v>108</v>
      </c>
    </row>
    <row r="84" spans="2:5">
      <c r="B84" s="7" t="str">
        <f>Tenure!B5</f>
        <v>Table 9. North Bend count of owner and renter households by racial group, 2019</v>
      </c>
      <c r="E84" s="7" t="s">
        <v>109</v>
      </c>
    </row>
    <row r="86" spans="2:5" ht="15">
      <c r="B86" s="291" t="s">
        <v>110</v>
      </c>
      <c r="C86" s="291"/>
      <c r="D86" s="291"/>
      <c r="E86" s="291"/>
    </row>
    <row r="87" spans="2:5">
      <c r="B87" s="10" t="s">
        <v>111</v>
      </c>
    </row>
    <row r="88" spans="2:5">
      <c r="B88" s="7" t="str">
        <f>'Racial Composition'!C29</f>
        <v>Chart 1. North Bend population by race and Hispanic or Latino ethnicity, 2020</v>
      </c>
      <c r="E88" s="7" t="s">
        <v>105</v>
      </c>
    </row>
    <row r="89" spans="2:5">
      <c r="B89" s="7" t="str">
        <f>'Racial Composition'!C56</f>
        <v>Chart 1a. North Bend population by race and Hispanic ethnicity, 2020</v>
      </c>
      <c r="E89" s="7" t="s">
        <v>105</v>
      </c>
    </row>
    <row r="90" spans="2:5">
      <c r="B90" s="7" t="str">
        <f>'Racial Composition'!C87</f>
        <v>Chart 2. Racial composition of North Bend and King County, 2020</v>
      </c>
      <c r="E90" s="7" t="s">
        <v>105</v>
      </c>
    </row>
    <row r="91" spans="2:5">
      <c r="B91" s="7" t="str">
        <f>'Racial Composition'!C113</f>
        <v>Chart 2a. Racial composition of North Bend and King County, 2020</v>
      </c>
      <c r="E91" s="7" t="s">
        <v>105</v>
      </c>
    </row>
    <row r="92" spans="2:5">
      <c r="B92" s="7" t="str">
        <f>'Racial Composition'!C138</f>
        <v>Chart 3. Racial composition of North Bend and King County, 2015 and 2020</v>
      </c>
      <c r="E92" s="7" t="s">
        <v>105</v>
      </c>
    </row>
    <row r="93" spans="2:5">
      <c r="B93" s="7" t="str">
        <f>'Cost Burden'!C29</f>
        <v>Chart 4. North Bend total housing cost burden by racial and ethnic group, 2019</v>
      </c>
      <c r="E93" s="7" t="s">
        <v>106</v>
      </c>
    </row>
    <row r="94" spans="2:5">
      <c r="B94" s="7" t="str">
        <f>'Cost Burden'!C53</f>
        <v>Chart 4a. North Bend total housing cost burden by racial and ethnic group, 2019</v>
      </c>
      <c r="E94" s="7" t="s">
        <v>106</v>
      </c>
    </row>
    <row r="95" spans="2:5">
      <c r="B95" s="7" t="str">
        <f>'Cost Burden'!C76</f>
        <v>Chart 5. North Bend number of owner households by race and cost burden, 2019</v>
      </c>
      <c r="E95" s="7" t="s">
        <v>106</v>
      </c>
    </row>
    <row r="96" spans="2:5">
      <c r="B96" s="7" t="str">
        <f>'Cost Burden'!C100</f>
        <v>Chart 5a. North Bend number of owner households by race and cost burden, 2019</v>
      </c>
      <c r="E96" s="7" t="s">
        <v>106</v>
      </c>
    </row>
    <row r="97" spans="2:5">
      <c r="B97" s="7" t="str">
        <f>'Cost Burden'!C124</f>
        <v>Chart 6. North Bend renter households by race and cost burden, 2019</v>
      </c>
      <c r="E97" s="7" t="s">
        <v>106</v>
      </c>
    </row>
    <row r="98" spans="2:5">
      <c r="B98" s="7" t="str">
        <f>'Cost Burden'!C148</f>
        <v>Chart 6a. North Bend renter households by race and cost burden, 2019</v>
      </c>
      <c r="E98" s="7" t="s">
        <v>106</v>
      </c>
    </row>
    <row r="99" spans="2:5">
      <c r="B99" s="7" t="str">
        <f>'Cost Burden'!C202</f>
        <v>Chart 7. North Bend percent of all households experiencing housing cost burden, 2019</v>
      </c>
      <c r="E99" s="7" t="s">
        <v>106</v>
      </c>
    </row>
    <row r="100" spans="2:5">
      <c r="B100" s="7" t="str">
        <f>'Cost Burden'!C228</f>
        <v>Chart 7a. North Bend percent of all households experiencing housing cost burden, 2019</v>
      </c>
      <c r="E100" s="7" t="s">
        <v>106</v>
      </c>
    </row>
    <row r="101" spans="2:5">
      <c r="B101" s="7" t="str">
        <f>'Cost Burden'!C246</f>
        <v>Chart 8. North Bend percent owner households experiencing housing cost burden, 2019</v>
      </c>
      <c r="E101" s="7" t="s">
        <v>106</v>
      </c>
    </row>
    <row r="102" spans="2:5">
      <c r="B102" s="7" t="str">
        <f>'Cost Burden'!C272</f>
        <v>Chart 8a. North Bend percent owner households experiencing housing cost burden, 2019</v>
      </c>
      <c r="E102" s="7" t="s">
        <v>106</v>
      </c>
    </row>
    <row r="103" spans="2:5">
      <c r="B103" s="7" t="str">
        <f>'Cost Burden'!C291</f>
        <v>Chart 9. North Bend percent renter households experiencing housing cost burden, 2019</v>
      </c>
      <c r="E103" s="7" t="s">
        <v>106</v>
      </c>
    </row>
    <row r="104" spans="2:5">
      <c r="B104" s="7" t="str">
        <f>'Cost Burden'!C317</f>
        <v>Chart 9a. North Bend percent renter households experiencing housing cost burden, 2019</v>
      </c>
      <c r="E104" s="7" t="s">
        <v>106</v>
      </c>
    </row>
    <row r="105" spans="2:5">
      <c r="B105" s="7" t="str">
        <f>'Rental Affordability'!C20</f>
        <v>Chart 10. North Bend and King County renter household income compared to rental unit affordability, 2019</v>
      </c>
      <c r="E105" s="7" t="s">
        <v>107</v>
      </c>
    </row>
    <row r="106" spans="2:5">
      <c r="B106" s="7" t="str">
        <f>'Rental Affordability'!C45</f>
        <v>Chart 11. North Bend renter households by income compared to rental units by affordability, 2019</v>
      </c>
      <c r="E106" s="7" t="s">
        <v>107</v>
      </c>
    </row>
    <row r="107" spans="2:5">
      <c r="B107" s="7" t="str">
        <f>'Rental Affordability'!C78</f>
        <v>Chart 12. North Bend five year change in renter households by income and rental units by affordability, 2014 - 2019</v>
      </c>
      <c r="E107" s="7" t="s">
        <v>107</v>
      </c>
    </row>
    <row r="108" spans="2:5">
      <c r="B108" s="7" t="str">
        <f>Income!B31</f>
        <v>Chart 13. North Bend number of households by income category and race, 2019</v>
      </c>
      <c r="E108" s="7" t="s">
        <v>108</v>
      </c>
    </row>
    <row r="109" spans="2:5">
      <c r="B109" s="7" t="str">
        <f>Income!B55</f>
        <v>Chart 13a. North Bend number of households by income category and race, 2019</v>
      </c>
      <c r="E109" s="7" t="s">
        <v>108</v>
      </c>
    </row>
    <row r="110" spans="2:5">
      <c r="B110" s="7" t="str">
        <f>Income!B78</f>
        <v>Chart 14. North Bend distribution of households by income and race or ethnicity, 2019</v>
      </c>
      <c r="E110" s="7" t="s">
        <v>108</v>
      </c>
    </row>
    <row r="111" spans="2:5">
      <c r="B111" s="7" t="str">
        <f>Income!B100</f>
        <v>Chart 14a. North Bend distribution of households by income and race or ethnicity, 2019</v>
      </c>
      <c r="E111" s="7" t="s">
        <v>108</v>
      </c>
    </row>
    <row r="112" spans="2:5">
      <c r="B112" s="7" t="str">
        <f>Income!B172</f>
        <v>Chart 15. North Bend percentage of all households by income category and race, (2010 - 2014 vs 2015 - 2019)</v>
      </c>
      <c r="E112" s="7" t="s">
        <v>108</v>
      </c>
    </row>
    <row r="113" spans="2:5">
      <c r="B113" s="7" t="str">
        <f>Tenure!B22</f>
        <v>Chart 16. North Bend total number of owner and renter households by race and ethnicity, 2019</v>
      </c>
      <c r="E113" s="7" t="s">
        <v>109</v>
      </c>
    </row>
    <row r="114" spans="2:5">
      <c r="B114" s="7" t="str">
        <f>Tenure!B47</f>
        <v>Chart 16a. North Bend total number of owner and renter households by race and ethnicity, 2019</v>
      </c>
      <c r="E114" s="7" t="s">
        <v>109</v>
      </c>
    </row>
    <row r="115" spans="2:5">
      <c r="B115" s="7" t="str">
        <f>Tenure!B69</f>
        <v xml:space="preserve">Chart 17. North Bend percent owner and renter households by race and ethnicity, 2019 </v>
      </c>
      <c r="E115" s="7" t="s">
        <v>109</v>
      </c>
    </row>
    <row r="116" spans="2:5">
      <c r="B116" s="7" t="str">
        <f>Tenure!B95</f>
        <v xml:space="preserve">Chart 17a. North Bend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4" t="str">
        <f>"Table 1. Racial composition of "&amp; City_label &amp; " and " &amp; County_label&amp; ", 2015 and 2020"</f>
        <v>Table 1. Racial composition of North Bend and King County, 2015 and 2020</v>
      </c>
      <c r="D5" s="304"/>
      <c r="E5" s="304"/>
      <c r="F5" s="304"/>
      <c r="G5" s="304"/>
      <c r="H5" s="304"/>
      <c r="I5" s="304"/>
      <c r="J5" s="304"/>
      <c r="K5" s="304"/>
      <c r="L5" s="304"/>
      <c r="M5" s="304"/>
      <c r="AA5" s="16" t="s">
        <v>127</v>
      </c>
      <c r="AB5" s="298" t="str">
        <f>City</f>
        <v>North Bend city, Washington</v>
      </c>
      <c r="AC5" s="298"/>
      <c r="AM5" s="32"/>
    </row>
    <row r="6" spans="3:51" ht="15.75">
      <c r="C6" s="304"/>
      <c r="D6" s="304"/>
      <c r="E6" s="304"/>
      <c r="F6" s="304"/>
      <c r="G6" s="304"/>
      <c r="H6" s="304"/>
      <c r="I6" s="304"/>
      <c r="J6" s="304"/>
      <c r="K6" s="304"/>
      <c r="L6" s="304"/>
      <c r="M6" s="304"/>
      <c r="AA6" s="16" t="s">
        <v>128</v>
      </c>
      <c r="AB6" s="298" t="str">
        <f>County</f>
        <v>King County, Washington</v>
      </c>
      <c r="AC6" s="298"/>
      <c r="AL6" s="32"/>
    </row>
    <row r="7" spans="3:51" ht="15" thickBot="1"/>
    <row r="8" spans="3:51">
      <c r="C8" s="64"/>
      <c r="D8" s="64"/>
      <c r="E8" s="64"/>
      <c r="F8" s="64"/>
      <c r="G8" s="65" t="str">
        <f>City_label</f>
        <v>North Bend</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North Bend</v>
      </c>
      <c r="AF10" s="36" t="str">
        <f>City_label</f>
        <v>North Bend</v>
      </c>
      <c r="AG10" s="36" t="str">
        <f>City_label</f>
        <v>North Bend</v>
      </c>
      <c r="AH10" s="36" t="str">
        <f>City_label</f>
        <v>North Bend</v>
      </c>
      <c r="AI10" s="36" t="str">
        <f>City_label</f>
        <v>North Bend</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19</v>
      </c>
      <c r="H11" s="69">
        <f>AF16</f>
        <v>302</v>
      </c>
      <c r="I11" s="69">
        <f t="shared" si="0"/>
        <v>283</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103</v>
      </c>
      <c r="H12" s="69">
        <f>AF14</f>
        <v>36</v>
      </c>
      <c r="I12" s="69">
        <f t="shared" si="0"/>
        <v>-67</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482</v>
      </c>
      <c r="H13" s="69">
        <f>AF20</f>
        <v>1347</v>
      </c>
      <c r="I13" s="69">
        <f t="shared" si="0"/>
        <v>865</v>
      </c>
      <c r="J13" s="29"/>
      <c r="K13" s="69">
        <f>AK20</f>
        <v>189808</v>
      </c>
      <c r="L13" s="69">
        <f>AL20</f>
        <v>218763</v>
      </c>
      <c r="M13" s="69">
        <f t="shared" si="1"/>
        <v>28955</v>
      </c>
      <c r="AA13" s="112" t="s">
        <v>135</v>
      </c>
      <c r="AB13" s="112" t="s">
        <v>136</v>
      </c>
      <c r="AC13" t="s">
        <v>137</v>
      </c>
      <c r="AE13" s="1">
        <v>5554</v>
      </c>
      <c r="AF13" s="1">
        <v>5084</v>
      </c>
      <c r="AG13" s="6">
        <f t="shared" ref="AG13:AH20" si="2">AE13/AE$21</f>
        <v>0.88088818398096747</v>
      </c>
      <c r="AH13" s="6">
        <f t="shared" si="2"/>
        <v>0.70995670995671001</v>
      </c>
      <c r="AI13" t="str">
        <f t="shared" ref="AI13:AI20" si="3">TEXT(AF13,"#,##0")&amp;CHAR(10)&amp;"("&amp;TEXT(AH13,"0%"&amp;")")</f>
        <v>5,084
(71%)</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103</v>
      </c>
      <c r="AF14" s="1">
        <v>36</v>
      </c>
      <c r="AG14" s="6">
        <f t="shared" si="2"/>
        <v>1.6336241078509121E-2</v>
      </c>
      <c r="AH14" s="6">
        <f t="shared" si="2"/>
        <v>5.0272308336824466E-3</v>
      </c>
      <c r="AI14" t="str">
        <f t="shared" si="3"/>
        <v>36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147</v>
      </c>
      <c r="H16" s="69">
        <f t="shared" si="6"/>
        <v>392</v>
      </c>
      <c r="I16" s="69">
        <f t="shared" si="0"/>
        <v>245</v>
      </c>
      <c r="J16" s="29"/>
      <c r="K16" s="69">
        <f t="shared" si="7"/>
        <v>99291</v>
      </c>
      <c r="L16" s="69">
        <f t="shared" si="7"/>
        <v>127070</v>
      </c>
      <c r="M16" s="69">
        <f t="shared" si="1"/>
        <v>27779</v>
      </c>
      <c r="AA16" s="112" t="s">
        <v>144</v>
      </c>
      <c r="AB16" s="112" t="s">
        <v>145</v>
      </c>
      <c r="AC16" t="s">
        <v>146</v>
      </c>
      <c r="AE16" s="1">
        <v>19</v>
      </c>
      <c r="AF16" s="1">
        <v>302</v>
      </c>
      <c r="AG16" s="6">
        <f t="shared" si="2"/>
        <v>3.0134813639968281E-3</v>
      </c>
      <c r="AH16" s="6">
        <f t="shared" si="2"/>
        <v>4.21728808825583E-2</v>
      </c>
      <c r="AI16" t="str">
        <f t="shared" si="3"/>
        <v>302
(4%)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5554</v>
      </c>
      <c r="H17" s="69">
        <f>AF13</f>
        <v>5084</v>
      </c>
      <c r="I17" s="69">
        <f t="shared" si="0"/>
        <v>-470</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6305</v>
      </c>
      <c r="H18" s="72">
        <f>SUM(H10:H17)</f>
        <v>7161</v>
      </c>
      <c r="I18" s="72">
        <f>SUM(I10:I17)</f>
        <v>856</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2" t="s">
        <v>153</v>
      </c>
      <c r="D19" s="302"/>
      <c r="E19" s="302"/>
      <c r="F19" s="302"/>
      <c r="G19" s="302"/>
      <c r="H19" s="302"/>
      <c r="I19" s="302"/>
      <c r="J19" s="302"/>
      <c r="K19" s="302"/>
      <c r="L19" s="302"/>
      <c r="M19" s="302"/>
      <c r="AA19" s="112" t="s">
        <v>139</v>
      </c>
      <c r="AB19" s="112" t="s">
        <v>154</v>
      </c>
      <c r="AC19" t="s">
        <v>155</v>
      </c>
      <c r="AE19" s="1">
        <v>147</v>
      </c>
      <c r="AF19" s="1">
        <v>392</v>
      </c>
      <c r="AG19" s="6">
        <f t="shared" si="2"/>
        <v>2.3314829500396511E-2</v>
      </c>
      <c r="AH19" s="6">
        <f t="shared" si="2"/>
        <v>5.4740957966764418E-2</v>
      </c>
      <c r="AI19" t="str">
        <f t="shared" si="3"/>
        <v>392
(5%)</v>
      </c>
      <c r="AK19" s="1">
        <v>99291</v>
      </c>
      <c r="AL19" s="1">
        <v>127070</v>
      </c>
      <c r="AM19" s="6">
        <f t="shared" si="4"/>
        <v>4.8535113669469866E-2</v>
      </c>
      <c r="AN19" s="6">
        <f t="shared" si="5"/>
        <v>5.7108469688961758E-2</v>
      </c>
      <c r="AP19" s="6"/>
      <c r="AU19" s="38"/>
      <c r="AV19" s="38"/>
      <c r="AX19" s="6"/>
      <c r="AY19" s="6"/>
    </row>
    <row r="20" spans="3:51" ht="14.25" customHeight="1">
      <c r="C20" s="303"/>
      <c r="D20" s="303"/>
      <c r="E20" s="303"/>
      <c r="F20" s="303"/>
      <c r="G20" s="303"/>
      <c r="H20" s="303"/>
      <c r="I20" s="303"/>
      <c r="J20" s="303"/>
      <c r="K20" s="303"/>
      <c r="L20" s="303"/>
      <c r="M20" s="303"/>
      <c r="AA20" s="112" t="s">
        <v>156</v>
      </c>
      <c r="AB20" s="112" t="s">
        <v>157</v>
      </c>
      <c r="AC20" t="s">
        <v>158</v>
      </c>
      <c r="AE20" s="1">
        <v>482</v>
      </c>
      <c r="AF20" s="1">
        <v>1347</v>
      </c>
      <c r="AG20" s="6">
        <f t="shared" si="2"/>
        <v>7.6447264076130061E-2</v>
      </c>
      <c r="AH20" s="6">
        <f t="shared" si="2"/>
        <v>0.18810222036028487</v>
      </c>
      <c r="AI20" t="str">
        <f t="shared" si="3"/>
        <v>1,347
(19%)</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6305</v>
      </c>
      <c r="AF21" s="3">
        <v>7161</v>
      </c>
      <c r="AK21" s="2">
        <v>2045756</v>
      </c>
      <c r="AL21" s="2">
        <v>2225064</v>
      </c>
    </row>
    <row r="22" spans="3:51" ht="14.25" customHeight="1">
      <c r="C22" s="46"/>
      <c r="D22" s="46"/>
      <c r="E22" s="46"/>
      <c r="F22" s="46"/>
      <c r="G22" s="46"/>
      <c r="H22" s="46"/>
      <c r="I22" s="46"/>
      <c r="J22" s="46"/>
      <c r="K22" s="46"/>
      <c r="L22" s="301" t="str">
        <f>"Based on a Coefficient of Variation of "&amp;TEXT(Inputs!C17, "0%")&amp;" alternative charts are:"</f>
        <v>Based on a Coefficient of Variation of 30% alternative charts are:</v>
      </c>
      <c r="M22" s="301"/>
      <c r="AE22" s="1"/>
      <c r="AF22" s="1"/>
      <c r="AG22" s="6"/>
      <c r="AH22" s="6"/>
      <c r="AK22" s="1"/>
      <c r="AL22" s="1"/>
      <c r="AM22" s="6"/>
      <c r="AN22" s="6"/>
    </row>
    <row r="23" spans="3:51" ht="15" customHeight="1">
      <c r="C23" s="46"/>
      <c r="D23" s="46"/>
      <c r="E23" s="46"/>
      <c r="F23" s="46"/>
      <c r="G23" s="46"/>
      <c r="H23" s="46"/>
      <c r="I23" s="46"/>
      <c r="J23" s="46"/>
      <c r="K23" s="46"/>
      <c r="L23" s="301"/>
      <c r="M23" s="301"/>
    </row>
    <row r="24" spans="3:51" ht="15">
      <c r="C24" s="50"/>
      <c r="D24" s="50"/>
      <c r="E24" s="50"/>
      <c r="F24" s="50"/>
      <c r="G24" s="50"/>
      <c r="H24" s="50"/>
      <c r="I24" s="50"/>
      <c r="J24" s="50"/>
      <c r="K24" s="50"/>
      <c r="L24" s="301"/>
      <c r="M24" s="301"/>
      <c r="AF24" s="47" t="str">
        <f>City_label</f>
        <v>North Bend</v>
      </c>
      <c r="AH24" s="16" t="str">
        <f>City_label</f>
        <v>North Bend</v>
      </c>
      <c r="AK24" s="299" t="str">
        <f>County_label</f>
        <v>King County</v>
      </c>
      <c r="AL24" s="299"/>
      <c r="AM24" s="299" t="str">
        <f>County_label</f>
        <v>King County</v>
      </c>
      <c r="AN24" s="299"/>
    </row>
    <row r="25" spans="3:51" ht="15">
      <c r="C25" s="50"/>
      <c r="D25" s="50"/>
      <c r="E25" s="50"/>
      <c r="F25" s="50"/>
      <c r="G25" s="50"/>
      <c r="H25" s="50"/>
      <c r="I25" s="50"/>
      <c r="J25" s="50"/>
      <c r="K25" s="50"/>
      <c r="L25" s="301"/>
      <c r="M25" s="301"/>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1"/>
      <c r="M26" s="301"/>
      <c r="AC26" t="s">
        <v>146</v>
      </c>
      <c r="AE26" s="5">
        <f>AE16</f>
        <v>19</v>
      </c>
      <c r="AF26" s="5">
        <f>AF16</f>
        <v>302</v>
      </c>
      <c r="AG26" s="6">
        <f>AE26/$AE$31</f>
        <v>3.0134813639968281E-3</v>
      </c>
      <c r="AH26" s="6">
        <f>AF26/$AF$31</f>
        <v>4.21728808825583E-2</v>
      </c>
      <c r="AI26" t="str">
        <f>TEXT(AF26,"#,##0")&amp;CHAR(10)&amp;"("&amp;TEXT(AH26,"0%"&amp;")")</f>
        <v>302
(4%)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0" t="str">
        <f>IF(SUM(AH50,AH65,AN50,AN65)&gt;0, "Recommended", "Optional")</f>
        <v>Recommended</v>
      </c>
      <c r="M27" s="300"/>
      <c r="AC27" t="s">
        <v>140</v>
      </c>
      <c r="AE27" s="5">
        <f>AE14</f>
        <v>103</v>
      </c>
      <c r="AF27" s="5">
        <f>AF14</f>
        <v>36</v>
      </c>
      <c r="AG27" s="6">
        <f>AE27/$AE$31</f>
        <v>1.6336241078509121E-2</v>
      </c>
      <c r="AH27" s="6">
        <f>AF27/$AF$31</f>
        <v>5.0272308336824466E-3</v>
      </c>
      <c r="AI27" t="str">
        <f>TEXT(AF27,"#,##0")&amp;CHAR(10)&amp;"("&amp;TEXT(AH27,"0%"&amp;")")</f>
        <v>36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482</v>
      </c>
      <c r="AF28" s="5">
        <f>AF20</f>
        <v>1347</v>
      </c>
      <c r="AG28" s="6">
        <f>AE28/$AE$31</f>
        <v>7.6447264076130061E-2</v>
      </c>
      <c r="AH28" s="6">
        <f>AF28/$AF$31</f>
        <v>0.18810222036028487</v>
      </c>
      <c r="AI28" t="str">
        <f>TEXT(AF28,"#,##0")&amp;CHAR(10)&amp;"("&amp;TEXT(AH28,"0%"&amp;")")</f>
        <v>1,347
(19%)</v>
      </c>
      <c r="AK28" s="5">
        <f>AK20</f>
        <v>189808</v>
      </c>
      <c r="AL28" s="5">
        <f>AL20</f>
        <v>218763</v>
      </c>
      <c r="AM28" s="6">
        <f>AK28/$AK$31</f>
        <v>9.2781348313288589E-2</v>
      </c>
      <c r="AN28" s="6">
        <f>AL28/$AL$31</f>
        <v>9.8317621425720786E-2</v>
      </c>
    </row>
    <row r="29" spans="3:51" ht="18" customHeight="1">
      <c r="C29" s="304" t="str">
        <f>"Chart 1. "&amp; City_label &amp; " population by race and Hispanic or Latino ethnicity, 2020"</f>
        <v>Chart 1. North Bend population by race and Hispanic or Latino ethnicity, 2020</v>
      </c>
      <c r="D29" s="304"/>
      <c r="E29" s="304"/>
      <c r="F29" s="304"/>
      <c r="G29" s="304"/>
      <c r="H29" s="304"/>
      <c r="I29" s="304"/>
      <c r="J29" s="304"/>
      <c r="K29" s="304"/>
      <c r="L29" s="304"/>
      <c r="M29" s="304"/>
      <c r="AC29" t="s">
        <v>152</v>
      </c>
      <c r="AE29" s="5">
        <f>SUM(AE15,AE17,AE18,AE19)</f>
        <v>147</v>
      </c>
      <c r="AF29" s="5">
        <f>SUM(AF15,AF17,AF18,AF19)</f>
        <v>392</v>
      </c>
      <c r="AG29" s="6">
        <f>AE29/$AE$31</f>
        <v>2.3314829500396511E-2</v>
      </c>
      <c r="AH29" s="6">
        <f>AF29/$AF$31</f>
        <v>5.4740957966764418E-2</v>
      </c>
      <c r="AI29" t="str">
        <f>TEXT(AF29,"#,##0")&amp;CHAR(10)&amp;"("&amp;TEXT(AH29,"0%"&amp;")")</f>
        <v>392
(5%)</v>
      </c>
      <c r="AK29" s="5">
        <f>SUM(AK15,AK17,AK18,AK19)</f>
        <v>130700</v>
      </c>
      <c r="AL29" s="5">
        <f>SUM(AL15,AL17,AL18,AL19)</f>
        <v>163499</v>
      </c>
      <c r="AM29" s="6">
        <f>AK29/$AK$31</f>
        <v>6.3888362052952549E-2</v>
      </c>
      <c r="AN29" s="6">
        <f>AL29/$AL$31</f>
        <v>7.3480583030420696E-2</v>
      </c>
    </row>
    <row r="30" spans="3:51" ht="18" customHeight="1">
      <c r="C30" s="304"/>
      <c r="D30" s="304"/>
      <c r="E30" s="304"/>
      <c r="F30" s="304"/>
      <c r="G30" s="304"/>
      <c r="H30" s="304"/>
      <c r="I30" s="304"/>
      <c r="J30" s="304"/>
      <c r="K30" s="304"/>
      <c r="L30" s="304"/>
      <c r="M30" s="304"/>
      <c r="AC30" t="s">
        <v>137</v>
      </c>
      <c r="AE30" s="5">
        <f>AE13</f>
        <v>5554</v>
      </c>
      <c r="AF30" s="5">
        <f>AF13</f>
        <v>5084</v>
      </c>
      <c r="AG30" s="6">
        <f>AE30/$AE$31</f>
        <v>0.88088818398096747</v>
      </c>
      <c r="AH30" s="6">
        <f>AF30/$AF$31</f>
        <v>0.70995670995671001</v>
      </c>
      <c r="AI30" t="str">
        <f>TEXT(AF30,"#,##0")&amp;CHAR(10)&amp;"("&amp;TEXT(AH30,"0%"&amp;")")</f>
        <v>5,084
(71%)</v>
      </c>
      <c r="AK30" s="5">
        <f>AK13</f>
        <v>1284684</v>
      </c>
      <c r="AL30" s="5">
        <f>AL13</f>
        <v>1295401</v>
      </c>
      <c r="AM30" s="6">
        <f>AK30/$AK$31</f>
        <v>0.62797518374625327</v>
      </c>
      <c r="AN30" s="6">
        <f>AL30/$AL$31</f>
        <v>0.58218595060636458</v>
      </c>
    </row>
    <row r="31" spans="3:51" ht="15">
      <c r="AC31" t="s">
        <v>161</v>
      </c>
      <c r="AE31" s="37">
        <f>SUM(AE26:AE30)</f>
        <v>6305</v>
      </c>
      <c r="AF31" s="37">
        <f>SUM(AF26:AF30)</f>
        <v>7161</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North Bend</v>
      </c>
      <c r="AG35" s="299" t="str">
        <f>City_label</f>
        <v>North Bend</v>
      </c>
      <c r="AH35" s="299"/>
      <c r="AL35" s="16" t="str">
        <f>County_label</f>
        <v>King County</v>
      </c>
      <c r="AM35" s="299" t="str">
        <f>County_label</f>
        <v>King County</v>
      </c>
      <c r="AN35" s="299"/>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482</v>
      </c>
      <c r="AF37" s="5">
        <f>AF20</f>
        <v>1347</v>
      </c>
      <c r="AG37" s="6">
        <f>AG20</f>
        <v>7.6447264076130061E-2</v>
      </c>
      <c r="AH37" s="6">
        <f>AH20</f>
        <v>0.18810222036028487</v>
      </c>
      <c r="AI37" t="str">
        <f>TEXT(AF37,"#,##0")&amp;CHAR(10)&amp;"("&amp;TEXT(AH37,"0%"&amp;")")</f>
        <v>1,347
(19%)</v>
      </c>
      <c r="AK37" s="5">
        <f>AK20</f>
        <v>189808</v>
      </c>
      <c r="AL37" s="5">
        <f>AL20</f>
        <v>218763</v>
      </c>
      <c r="AM37" s="6">
        <f>AM20</f>
        <v>9.2781348313288589E-2</v>
      </c>
      <c r="AN37" s="6">
        <f>AN20</f>
        <v>9.8317621425720786E-2</v>
      </c>
    </row>
    <row r="38" spans="27:40">
      <c r="AC38" t="s">
        <v>162</v>
      </c>
      <c r="AE38" s="5">
        <f>SUM(AE14:AE19)</f>
        <v>269</v>
      </c>
      <c r="AF38" s="5">
        <f>SUM(AF14:AF19)</f>
        <v>730</v>
      </c>
      <c r="AG38" s="6">
        <f>SUM(AG14:AG19)</f>
        <v>4.2664551942902459E-2</v>
      </c>
      <c r="AH38" s="6">
        <f>SUM(AH14:AH19)</f>
        <v>0.10194106968300518</v>
      </c>
      <c r="AI38" t="str">
        <f>TEXT(AF38,"#,##0")&amp;CHAR(10)&amp;"("&amp;TEXT(AH38,"0%"&amp;")")</f>
        <v>730
(10%)</v>
      </c>
      <c r="AK38" s="5">
        <f>SUM(AK14:AK19)</f>
        <v>571264</v>
      </c>
      <c r="AL38" s="5">
        <f>SUM(AL14:AL19)</f>
        <v>710900</v>
      </c>
      <c r="AM38" s="6">
        <f>SUM(AM14:AM19)</f>
        <v>0.27924346794045818</v>
      </c>
      <c r="AN38" s="6">
        <f>SUM(AN14:AN19)</f>
        <v>0.31949642796791461</v>
      </c>
    </row>
    <row r="39" spans="27:40">
      <c r="AC39" t="s">
        <v>137</v>
      </c>
      <c r="AE39" s="5">
        <f>AE13</f>
        <v>5554</v>
      </c>
      <c r="AF39" s="5">
        <f>AF13</f>
        <v>5084</v>
      </c>
      <c r="AG39" s="6">
        <f>AG13</f>
        <v>0.88088818398096747</v>
      </c>
      <c r="AH39" s="6">
        <f>AH13</f>
        <v>0.70995670995671001</v>
      </c>
      <c r="AI39" t="str">
        <f>TEXT(AF39,"#,##0")&amp;CHAR(10)&amp;"("&amp;TEXT(AH39,"0%"&amp;")")</f>
        <v>5,084
(71%)</v>
      </c>
      <c r="AK39" s="5">
        <f>AK13</f>
        <v>1284684</v>
      </c>
      <c r="AL39" s="5">
        <f>AL13</f>
        <v>1295401</v>
      </c>
      <c r="AM39" s="6">
        <f>AM13</f>
        <v>0.62797518374625327</v>
      </c>
      <c r="AN39" s="6">
        <f>AN13</f>
        <v>0.58218595060636458</v>
      </c>
    </row>
    <row r="40" spans="27:40" ht="14.25" customHeight="1">
      <c r="AD40" t="s">
        <v>161</v>
      </c>
      <c r="AE40" s="37">
        <f>SUM(AE37:AE38)</f>
        <v>751</v>
      </c>
      <c r="AF40" s="37">
        <f>SUM(AF37:AF38)</f>
        <v>2077</v>
      </c>
      <c r="AG40" s="53">
        <f>SUM(AG37:AG38)</f>
        <v>0.11911181601903252</v>
      </c>
      <c r="AH40" s="53">
        <f>SUM(AH37:AH38)</f>
        <v>0.29004329004329005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North Bend</v>
      </c>
      <c r="AF49" s="36" t="str">
        <f>City_label</f>
        <v>North Bend</v>
      </c>
      <c r="AG49" s="36" t="str">
        <f>City_label</f>
        <v>North Bend</v>
      </c>
      <c r="AH49" s="98" t="str">
        <f>IF(AH50&gt;=1, "Small Numbers", "")</f>
        <v>Small Numbers</v>
      </c>
      <c r="AK49" s="36" t="str">
        <f>City_label</f>
        <v>North Bend</v>
      </c>
      <c r="AL49" s="36" t="str">
        <f>City_label</f>
        <v>North Bend</v>
      </c>
      <c r="AM49" s="36" t="str">
        <f>City_label</f>
        <v>North Bend</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5" t="str">
        <f>"Source:  " &amp; Inputs!$J$48</f>
        <v>Source:  US Census Bureau, 2016-2020 American Community Survey 5-Year Estimates (Table DP05); Washington Department of Commerce, 2023</v>
      </c>
      <c r="D52" s="305"/>
      <c r="E52" s="305"/>
      <c r="F52" s="305"/>
      <c r="G52" s="305"/>
      <c r="H52" s="305"/>
      <c r="I52" s="305"/>
      <c r="J52" s="305"/>
      <c r="K52" s="305"/>
      <c r="L52" s="305"/>
      <c r="M52" s="305"/>
      <c r="AA52" s="112" t="s">
        <v>167</v>
      </c>
      <c r="AB52" s="112" t="s">
        <v>168</v>
      </c>
      <c r="AC52" t="s">
        <v>137</v>
      </c>
      <c r="AE52" s="1">
        <v>5554</v>
      </c>
      <c r="AF52" s="1">
        <v>417</v>
      </c>
      <c r="AG52" s="6">
        <f t="shared" ref="AG52:AG60" si="9">IFERROR(((AF52/1.645)/AE52), 0)</f>
        <v>4.5641959079849345E-2</v>
      </c>
      <c r="AH52" s="98">
        <f>IF(AG52&gt;MOE_Threshold, 1, 0)</f>
        <v>0</v>
      </c>
      <c r="AK52" s="1">
        <v>5084</v>
      </c>
      <c r="AL52" s="1">
        <v>797</v>
      </c>
      <c r="AM52" s="6">
        <f t="shared" ref="AM52:AM60" si="10">IFERROR(((AL52/1.645)/AK52), 0)</f>
        <v>9.5298678253965596E-2</v>
      </c>
      <c r="AN52" s="98">
        <f>IF(AM52&gt;MOE_Threshold, 1, 0)</f>
        <v>0</v>
      </c>
    </row>
    <row r="53" spans="3:40">
      <c r="C53" s="305"/>
      <c r="D53" s="305"/>
      <c r="E53" s="305"/>
      <c r="F53" s="305"/>
      <c r="G53" s="305"/>
      <c r="H53" s="305"/>
      <c r="I53" s="305"/>
      <c r="J53" s="305"/>
      <c r="K53" s="305"/>
      <c r="L53" s="305"/>
      <c r="M53" s="305"/>
      <c r="AA53" s="112" t="s">
        <v>169</v>
      </c>
      <c r="AB53" s="112" t="s">
        <v>170</v>
      </c>
      <c r="AC53" t="s">
        <v>140</v>
      </c>
      <c r="AE53" s="1">
        <v>103</v>
      </c>
      <c r="AF53" s="1">
        <v>115</v>
      </c>
      <c r="AG53" s="6">
        <f t="shared" si="9"/>
        <v>0.67872635523947233</v>
      </c>
      <c r="AH53" s="98">
        <f>IF(AG53&gt;MOE_Threshold, 1, 0)</f>
        <v>1</v>
      </c>
      <c r="AK53" s="1">
        <v>36</v>
      </c>
      <c r="AL53" s="1">
        <v>38</v>
      </c>
      <c r="AM53" s="6">
        <f t="shared" si="10"/>
        <v>0.64167510976021613</v>
      </c>
      <c r="AN53" s="98">
        <f>IF(AM53&gt;MOE_Threshold, 1, 0)</f>
        <v>1</v>
      </c>
    </row>
    <row r="54" spans="3:40">
      <c r="C54" s="50"/>
      <c r="D54" s="50"/>
      <c r="E54" s="50"/>
      <c r="F54" s="50"/>
      <c r="G54" s="50"/>
      <c r="H54" s="50"/>
      <c r="I54" s="50"/>
      <c r="J54" s="50"/>
      <c r="K54" s="50"/>
      <c r="AA54" s="112" t="s">
        <v>171</v>
      </c>
      <c r="AB54" s="112" t="s">
        <v>172</v>
      </c>
      <c r="AC54" t="s">
        <v>143</v>
      </c>
      <c r="AE54" s="1">
        <v>0</v>
      </c>
      <c r="AF54" s="1">
        <v>17</v>
      </c>
      <c r="AG54" s="6">
        <f t="shared" si="9"/>
        <v>0</v>
      </c>
      <c r="AH54" s="98"/>
      <c r="AK54" s="1">
        <v>0</v>
      </c>
      <c r="AL54" s="1">
        <v>18</v>
      </c>
      <c r="AM54" s="6">
        <f t="shared" si="10"/>
        <v>0</v>
      </c>
      <c r="AN54" s="98"/>
    </row>
    <row r="55" spans="3:40">
      <c r="AA55" s="112" t="s">
        <v>173</v>
      </c>
      <c r="AB55" s="112" t="s">
        <v>174</v>
      </c>
      <c r="AC55" t="s">
        <v>146</v>
      </c>
      <c r="AE55" s="1">
        <v>19</v>
      </c>
      <c r="AF55" s="1">
        <v>27</v>
      </c>
      <c r="AG55" s="6">
        <f t="shared" si="9"/>
        <v>0.86386178211486164</v>
      </c>
      <c r="AH55" s="98">
        <f>IF(AG55&gt;MOE_Threshold, 1, 0)</f>
        <v>1</v>
      </c>
      <c r="AK55" s="1">
        <v>302</v>
      </c>
      <c r="AL55" s="1">
        <v>157</v>
      </c>
      <c r="AM55" s="6">
        <f t="shared" si="10"/>
        <v>0.31602890557378371</v>
      </c>
      <c r="AN55" s="98">
        <f>IF(AM55&gt;MOE_Threshold, 1, 0)</f>
        <v>1</v>
      </c>
    </row>
    <row r="56" spans="3:40" ht="18">
      <c r="C56" s="51" t="str">
        <f>"Chart 1a. "&amp; City_label &amp; " population by race and Hispanic ethnicity, 2020"</f>
        <v>Chart 1a. North Bend population by race and Hispanic ethnicity, 2020</v>
      </c>
      <c r="AA56" s="112" t="s">
        <v>175</v>
      </c>
      <c r="AB56" s="112" t="s">
        <v>176</v>
      </c>
      <c r="AC56" t="s">
        <v>149</v>
      </c>
      <c r="AE56" s="1">
        <v>0</v>
      </c>
      <c r="AF56" s="1">
        <v>17</v>
      </c>
      <c r="AG56" s="6">
        <f t="shared" si="9"/>
        <v>0</v>
      </c>
      <c r="AH56" s="98"/>
      <c r="AK56" s="1">
        <v>0</v>
      </c>
      <c r="AL56" s="1">
        <v>18</v>
      </c>
      <c r="AM56" s="6">
        <f t="shared" si="10"/>
        <v>0</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147</v>
      </c>
      <c r="AF58" s="1">
        <v>146</v>
      </c>
      <c r="AG58" s="6">
        <f t="shared" si="9"/>
        <v>0.60376734280338273</v>
      </c>
      <c r="AH58" s="98"/>
      <c r="AK58" s="1">
        <v>392</v>
      </c>
      <c r="AL58" s="1">
        <v>312</v>
      </c>
      <c r="AM58" s="6">
        <f t="shared" si="10"/>
        <v>0.48384095279449163</v>
      </c>
      <c r="AN58" s="98"/>
    </row>
    <row r="59" spans="3:40">
      <c r="AA59" s="112" t="s">
        <v>179</v>
      </c>
      <c r="AB59" s="112" t="s">
        <v>180</v>
      </c>
      <c r="AC59" t="s">
        <v>158</v>
      </c>
      <c r="AE59" s="1">
        <v>482</v>
      </c>
      <c r="AF59" s="1">
        <v>384</v>
      </c>
      <c r="AG59" s="6">
        <f t="shared" si="9"/>
        <v>0.48430425405793998</v>
      </c>
      <c r="AH59" s="98">
        <f>IF(AG59&gt;MOE_Threshold, 1, 0)</f>
        <v>1</v>
      </c>
      <c r="AK59" s="1">
        <v>1347</v>
      </c>
      <c r="AL59" s="1">
        <v>775</v>
      </c>
      <c r="AM59" s="6">
        <f t="shared" si="10"/>
        <v>0.34975844102508558</v>
      </c>
      <c r="AN59" s="98">
        <f>IF(AM59&gt;MOE_Threshold, 1, 0)</f>
        <v>1</v>
      </c>
    </row>
    <row r="60" spans="3:40" ht="15">
      <c r="AA60" s="112" t="s">
        <v>181</v>
      </c>
      <c r="AB60" s="112" t="s">
        <v>182</v>
      </c>
      <c r="AC60" s="16" t="s">
        <v>161</v>
      </c>
      <c r="AE60" s="2">
        <v>6305</v>
      </c>
      <c r="AF60" s="2">
        <v>42</v>
      </c>
      <c r="AG60" s="6">
        <f t="shared" si="9"/>
        <v>4.0494710378456812E-3</v>
      </c>
      <c r="AH60" s="98">
        <f>IF(AG60&gt;MOE_Threshold, 1, 0)</f>
        <v>0</v>
      </c>
      <c r="AK60" s="2">
        <v>7161</v>
      </c>
      <c r="AL60" s="2">
        <v>40</v>
      </c>
      <c r="AM60" s="6">
        <f t="shared" si="10"/>
        <v>3.3956304178875017E-3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303" t="str">
        <f>"Source:  " &amp; Inputs!$J$48</f>
        <v>Source:  US Census Bureau, 2016-2020 American Community Survey 5-Year Estimates (Table DP05); Washington Department of Commerce, 2023</v>
      </c>
      <c r="D71" s="303"/>
      <c r="E71" s="303"/>
      <c r="F71" s="303"/>
      <c r="G71" s="303"/>
      <c r="H71" s="303"/>
      <c r="I71" s="303"/>
      <c r="J71" s="303"/>
      <c r="K71" s="303"/>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303"/>
      <c r="D72" s="303"/>
      <c r="E72" s="303"/>
      <c r="F72" s="303"/>
      <c r="G72" s="303"/>
      <c r="H72" s="303"/>
      <c r="I72" s="303"/>
      <c r="J72" s="303"/>
      <c r="K72" s="303"/>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4" t="str">
        <f>"Table 2. Racial composition percentage of "&amp; City_label &amp; " and " &amp; County_label&amp; " 2015 and 2020"</f>
        <v>Table 2. Racial composition percentage of North Bend and King County 2015 and 2020</v>
      </c>
      <c r="D74" s="304"/>
      <c r="E74" s="304"/>
      <c r="F74" s="304"/>
      <c r="G74" s="304"/>
      <c r="H74" s="304"/>
      <c r="I74" s="304"/>
      <c r="J74" s="304"/>
      <c r="K74" s="304"/>
      <c r="L74" s="304"/>
      <c r="M74" s="304"/>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4"/>
      <c r="D75" s="304"/>
      <c r="E75" s="304"/>
      <c r="F75" s="304"/>
      <c r="G75" s="304"/>
      <c r="H75" s="304"/>
      <c r="I75" s="304"/>
      <c r="J75" s="304"/>
      <c r="K75" s="304"/>
      <c r="L75" s="304"/>
      <c r="M75" s="304"/>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6" t="str">
        <f>City_label</f>
        <v>North Bend</v>
      </c>
      <c r="G77" s="306"/>
      <c r="H77" s="306" t="str">
        <f>County_label</f>
        <v>King County</v>
      </c>
      <c r="I77" s="306"/>
      <c r="J77" s="100"/>
    </row>
    <row r="78" spans="3:40">
      <c r="C78" s="66" t="s">
        <v>129</v>
      </c>
      <c r="D78" s="66"/>
      <c r="E78" s="66"/>
      <c r="F78" s="67">
        <v>2015</v>
      </c>
      <c r="G78" s="67">
        <v>2020</v>
      </c>
      <c r="H78" s="67">
        <v>2015</v>
      </c>
      <c r="I78" s="67">
        <v>2020</v>
      </c>
      <c r="J78" s="67"/>
    </row>
    <row r="79" spans="3:40">
      <c r="C79" s="29" t="s">
        <v>146</v>
      </c>
      <c r="D79" s="29"/>
      <c r="E79" s="29"/>
      <c r="F79" s="179">
        <f t="shared" ref="F79:G83" si="13">AG26</f>
        <v>3.0134813639968281E-3</v>
      </c>
      <c r="G79" s="179">
        <f t="shared" si="13"/>
        <v>4.21728808825583E-2</v>
      </c>
      <c r="H79" s="179">
        <f t="shared" ref="H79:I83" si="14">AM26</f>
        <v>0.15505954766844141</v>
      </c>
      <c r="I79" s="179">
        <f t="shared" si="14"/>
        <v>0.18239250646273544</v>
      </c>
    </row>
    <row r="80" spans="3:40">
      <c r="C80" s="29" t="s">
        <v>140</v>
      </c>
      <c r="D80" s="29"/>
      <c r="E80" s="29"/>
      <c r="F80" s="101">
        <f t="shared" si="13"/>
        <v>1.6336241078509121E-2</v>
      </c>
      <c r="G80" s="101">
        <f t="shared" si="13"/>
        <v>5.0272308336824466E-3</v>
      </c>
      <c r="H80" s="101">
        <f t="shared" si="14"/>
        <v>6.0295558219064245E-2</v>
      </c>
      <c r="I80" s="101">
        <f t="shared" si="14"/>
        <v>6.3623338474758484E-2</v>
      </c>
    </row>
    <row r="81" spans="3:10">
      <c r="C81" s="29" t="s">
        <v>158</v>
      </c>
      <c r="D81" s="29"/>
      <c r="E81" s="29"/>
      <c r="F81" s="179">
        <f t="shared" si="13"/>
        <v>7.6447264076130061E-2</v>
      </c>
      <c r="G81" s="179">
        <f t="shared" si="13"/>
        <v>0.18810222036028487</v>
      </c>
      <c r="H81" s="179">
        <f t="shared" si="14"/>
        <v>9.2781348313288589E-2</v>
      </c>
      <c r="I81" s="179">
        <f t="shared" si="14"/>
        <v>9.8317621425720786E-2</v>
      </c>
    </row>
    <row r="82" spans="3:10">
      <c r="C82" s="29" t="s">
        <v>152</v>
      </c>
      <c r="D82" s="29"/>
      <c r="E82" s="29"/>
      <c r="F82" s="101">
        <f t="shared" si="13"/>
        <v>2.3314829500396511E-2</v>
      </c>
      <c r="G82" s="101">
        <f t="shared" si="13"/>
        <v>5.4740957966764418E-2</v>
      </c>
      <c r="H82" s="101">
        <f t="shared" si="14"/>
        <v>6.3888362052952549E-2</v>
      </c>
      <c r="I82" s="101">
        <f t="shared" si="14"/>
        <v>7.3480583030420696E-2</v>
      </c>
    </row>
    <row r="83" spans="3:10" ht="13.9" customHeight="1">
      <c r="C83" s="29" t="s">
        <v>137</v>
      </c>
      <c r="D83" s="29"/>
      <c r="E83" s="29"/>
      <c r="F83" s="179">
        <f t="shared" si="13"/>
        <v>0.88088818398096747</v>
      </c>
      <c r="G83" s="179">
        <f t="shared" si="13"/>
        <v>0.70995670995671001</v>
      </c>
      <c r="H83" s="179">
        <f t="shared" si="14"/>
        <v>0.62797518374625327</v>
      </c>
      <c r="I83" s="179">
        <f t="shared" si="14"/>
        <v>0.58218595060636458</v>
      </c>
      <c r="J83" s="35"/>
    </row>
    <row r="84" spans="3:10">
      <c r="C84" s="307" t="s">
        <v>183</v>
      </c>
      <c r="D84" s="307"/>
      <c r="E84" s="307"/>
      <c r="F84" s="307"/>
      <c r="G84" s="307"/>
      <c r="H84" s="307"/>
      <c r="I84" s="307"/>
      <c r="J84" s="307"/>
    </row>
    <row r="85" spans="3:10">
      <c r="C85" s="308"/>
      <c r="D85" s="308"/>
      <c r="E85" s="308"/>
      <c r="F85" s="308"/>
      <c r="G85" s="308"/>
      <c r="H85" s="308"/>
      <c r="I85" s="308"/>
      <c r="J85" s="308"/>
    </row>
    <row r="87" spans="3:10" ht="18">
      <c r="C87" s="51" t="str">
        <f>"Chart 2. Racial composition of "&amp; City_label &amp; " and " &amp; County_label &amp;", 2020"</f>
        <v>Chart 2. Racial composition of North Bend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3" t="s">
        <v>183</v>
      </c>
      <c r="D110" s="303"/>
      <c r="E110" s="303"/>
      <c r="F110" s="303"/>
      <c r="G110" s="303"/>
      <c r="H110" s="303"/>
      <c r="I110" s="303"/>
      <c r="J110" s="303"/>
      <c r="K110" s="303"/>
    </row>
    <row r="111" spans="3:55">
      <c r="C111" s="303"/>
      <c r="D111" s="303"/>
      <c r="E111" s="303"/>
      <c r="F111" s="303"/>
      <c r="G111" s="303"/>
      <c r="H111" s="303"/>
      <c r="I111" s="303"/>
      <c r="J111" s="303"/>
      <c r="K111" s="303"/>
      <c r="AY111" s="31"/>
      <c r="AZ111" s="31"/>
      <c r="BA111" s="31"/>
    </row>
    <row r="112" spans="3:55">
      <c r="AY112" s="31"/>
      <c r="AZ112" s="31"/>
      <c r="BA112" s="31"/>
    </row>
    <row r="113" spans="3:55" ht="18">
      <c r="C113" s="51" t="str">
        <f>"Chart 2a. Racial composition of "&amp; City_label &amp; " and " &amp; County_label &amp;", 2020"</f>
        <v>Chart 2a. Racial composition of North Bend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3" t="s">
        <v>183</v>
      </c>
      <c r="D135" s="303"/>
      <c r="E135" s="303"/>
      <c r="F135" s="303"/>
      <c r="G135" s="303"/>
      <c r="H135" s="303"/>
      <c r="I135" s="303"/>
      <c r="J135" s="303"/>
      <c r="K135" s="303"/>
    </row>
    <row r="136" spans="3:12">
      <c r="C136" s="303"/>
      <c r="D136" s="303"/>
      <c r="E136" s="303"/>
      <c r="F136" s="303"/>
      <c r="G136" s="303"/>
      <c r="H136" s="303"/>
      <c r="I136" s="303"/>
      <c r="J136" s="303"/>
      <c r="K136" s="303"/>
    </row>
    <row r="138" spans="3:12">
      <c r="C138" s="304" t="str">
        <f>"Chart 3. Racial composition of "&amp; City_label &amp; " and " &amp; County_label &amp;", 2015 and 2020"</f>
        <v>Chart 3. Racial composition of North Bend and King County, 2015 and 2020</v>
      </c>
      <c r="D138" s="304"/>
      <c r="E138" s="304"/>
      <c r="F138" s="304"/>
      <c r="G138" s="304"/>
      <c r="H138" s="304"/>
      <c r="I138" s="304"/>
      <c r="J138" s="304"/>
      <c r="K138" s="304"/>
      <c r="L138" s="304"/>
    </row>
    <row r="139" spans="3:12" ht="19.5" customHeight="1">
      <c r="C139" s="304"/>
      <c r="D139" s="304"/>
      <c r="E139" s="304"/>
      <c r="F139" s="304"/>
      <c r="G139" s="304"/>
      <c r="H139" s="304"/>
      <c r="I139" s="304"/>
      <c r="J139" s="304"/>
      <c r="K139" s="304"/>
      <c r="L139" s="304"/>
    </row>
    <row r="140" spans="3:12" ht="19.5" customHeight="1"/>
    <row r="141" spans="3:12" ht="18" customHeight="1"/>
    <row r="146" spans="3:11" ht="15">
      <c r="C146" s="16"/>
    </row>
    <row r="160" spans="3:11">
      <c r="D160" s="50"/>
      <c r="E160" s="50"/>
      <c r="F160" s="50"/>
      <c r="G160" s="50"/>
      <c r="H160" s="50"/>
      <c r="I160" s="50"/>
      <c r="J160" s="50"/>
      <c r="K160" s="50"/>
    </row>
    <row r="161" spans="3:12">
      <c r="C161" s="305" t="s">
        <v>153</v>
      </c>
      <c r="D161" s="305"/>
      <c r="E161" s="305"/>
      <c r="F161" s="305"/>
      <c r="G161" s="305"/>
      <c r="H161" s="305"/>
      <c r="I161" s="305"/>
      <c r="J161" s="305"/>
      <c r="K161" s="305"/>
      <c r="L161" s="305"/>
    </row>
    <row r="162" spans="3:12">
      <c r="C162" s="305"/>
      <c r="D162" s="305"/>
      <c r="E162" s="305"/>
      <c r="F162" s="305"/>
      <c r="G162" s="305"/>
      <c r="H162" s="305"/>
      <c r="I162" s="305"/>
      <c r="J162" s="305"/>
      <c r="K162" s="305"/>
      <c r="L162" s="305"/>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North Bend number of households by housing cost burden, 2019</v>
      </c>
      <c r="J4" t="s">
        <v>185</v>
      </c>
      <c r="R4" s="16" t="s">
        <v>127</v>
      </c>
      <c r="S4" s="52" t="str">
        <f>City</f>
        <v>North Bend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4" t="s">
        <v>137</v>
      </c>
      <c r="G6" s="314" t="s">
        <v>140</v>
      </c>
      <c r="H6" s="314" t="s">
        <v>146</v>
      </c>
      <c r="I6" s="314" t="s">
        <v>187</v>
      </c>
      <c r="J6" s="314" t="s">
        <v>188</v>
      </c>
      <c r="K6" s="314" t="s">
        <v>152</v>
      </c>
      <c r="L6" s="314" t="s">
        <v>189</v>
      </c>
      <c r="M6" s="314" t="s">
        <v>150</v>
      </c>
      <c r="T6" s="313" t="s">
        <v>137</v>
      </c>
      <c r="U6" s="313" t="s">
        <v>140</v>
      </c>
      <c r="V6" s="313" t="s">
        <v>146</v>
      </c>
      <c r="W6" s="313" t="s">
        <v>187</v>
      </c>
      <c r="X6" s="313" t="s">
        <v>188</v>
      </c>
      <c r="Y6" s="313" t="s">
        <v>152</v>
      </c>
      <c r="Z6" s="313" t="s">
        <v>158</v>
      </c>
      <c r="AA6" s="313" t="s">
        <v>190</v>
      </c>
      <c r="AQ6" s="325" t="s">
        <v>191</v>
      </c>
      <c r="AR6" s="325"/>
      <c r="AS6" s="325"/>
      <c r="AT6" s="325" t="s">
        <v>192</v>
      </c>
      <c r="AU6" s="325"/>
      <c r="AV6" s="325"/>
      <c r="AW6" s="325" t="s">
        <v>193</v>
      </c>
      <c r="AX6" s="325"/>
      <c r="AY6" s="325"/>
      <c r="AZ6" s="325" t="s">
        <v>194</v>
      </c>
      <c r="BA6" s="325"/>
      <c r="BB6" s="325"/>
      <c r="BG6" s="323" t="s">
        <v>194</v>
      </c>
      <c r="BH6" s="323"/>
      <c r="BI6" s="323"/>
    </row>
    <row r="7" spans="3:66" ht="19.5" customHeight="1">
      <c r="C7" s="81"/>
      <c r="D7" s="81"/>
      <c r="E7" s="80"/>
      <c r="F7" s="315"/>
      <c r="G7" s="315"/>
      <c r="H7" s="315"/>
      <c r="I7" s="315"/>
      <c r="J7" s="315"/>
      <c r="K7" s="315"/>
      <c r="L7" s="315"/>
      <c r="M7" s="315"/>
      <c r="S7" s="162" t="s">
        <v>195</v>
      </c>
      <c r="T7" s="313"/>
      <c r="U7" s="313"/>
      <c r="V7" s="313"/>
      <c r="W7" s="313"/>
      <c r="X7" s="313"/>
      <c r="Y7" s="313"/>
      <c r="Z7" s="313"/>
      <c r="AA7" s="313"/>
      <c r="AB7" s="5"/>
      <c r="AC7" s="5"/>
      <c r="AD7" s="324"/>
      <c r="AE7" s="310" t="s">
        <v>146</v>
      </c>
      <c r="AF7" s="311" t="s">
        <v>140</v>
      </c>
      <c r="AG7" s="312" t="s">
        <v>158</v>
      </c>
      <c r="AH7" s="310" t="s">
        <v>196</v>
      </c>
      <c r="AI7" s="309" t="s">
        <v>197</v>
      </c>
      <c r="AJ7" s="309" t="s">
        <v>137</v>
      </c>
      <c r="AK7" s="310" t="s">
        <v>150</v>
      </c>
      <c r="AQ7" s="325"/>
      <c r="AR7" s="325"/>
      <c r="AS7" s="325"/>
      <c r="AT7" s="325"/>
      <c r="AU7" s="325"/>
      <c r="AV7" s="325"/>
      <c r="AW7" s="325"/>
      <c r="AX7" s="325"/>
      <c r="AY7" s="325"/>
      <c r="AZ7" s="325"/>
      <c r="BA7" s="325"/>
      <c r="BB7" s="325"/>
      <c r="BG7" s="323"/>
      <c r="BH7" s="323"/>
      <c r="BI7" s="323"/>
    </row>
    <row r="8" spans="3:66" ht="19.5" customHeight="1">
      <c r="C8" s="81"/>
      <c r="D8" s="81"/>
      <c r="E8" s="80"/>
      <c r="F8" s="315"/>
      <c r="G8" s="315"/>
      <c r="H8" s="315"/>
      <c r="I8" s="315"/>
      <c r="J8" s="315"/>
      <c r="K8" s="315"/>
      <c r="L8" s="315"/>
      <c r="M8" s="315"/>
      <c r="S8" s="5"/>
      <c r="T8" s="313"/>
      <c r="U8" s="313"/>
      <c r="V8" s="313"/>
      <c r="W8" s="313"/>
      <c r="X8" s="313"/>
      <c r="Y8" s="313"/>
      <c r="Z8" s="313"/>
      <c r="AA8" s="313"/>
      <c r="AB8" s="5"/>
      <c r="AC8" s="5"/>
      <c r="AD8" s="324"/>
      <c r="AE8" s="310"/>
      <c r="AF8" s="311"/>
      <c r="AG8" s="312"/>
      <c r="AH8" s="310"/>
      <c r="AI8" s="309"/>
      <c r="AJ8" s="309"/>
      <c r="AK8" s="310"/>
      <c r="BH8" s="194"/>
    </row>
    <row r="9" spans="3:66" ht="18" customHeight="1">
      <c r="C9" s="79" t="s">
        <v>198</v>
      </c>
      <c r="D9" s="79"/>
      <c r="E9" s="79"/>
      <c r="F9" s="79"/>
      <c r="G9" s="79"/>
      <c r="H9" s="79"/>
      <c r="I9" s="79"/>
      <c r="J9" s="79"/>
      <c r="K9" s="79"/>
      <c r="L9" s="79"/>
      <c r="M9" s="79"/>
      <c r="S9" s="5"/>
      <c r="T9" s="313"/>
      <c r="U9" s="313"/>
      <c r="V9" s="313"/>
      <c r="W9" s="313"/>
      <c r="X9" s="313"/>
      <c r="Y9" s="313"/>
      <c r="Z9" s="313"/>
      <c r="AA9" s="313"/>
      <c r="AB9" s="5"/>
      <c r="AC9" s="5"/>
      <c r="AD9" s="324"/>
      <c r="AE9" s="310"/>
      <c r="AF9" s="311"/>
      <c r="AG9" s="312"/>
      <c r="AH9" s="310"/>
      <c r="AI9" s="309"/>
      <c r="AJ9" s="309"/>
      <c r="AK9" s="310"/>
      <c r="BG9" s="323" t="s">
        <v>193</v>
      </c>
      <c r="BH9" s="323"/>
      <c r="BI9" s="323"/>
    </row>
    <row r="10" spans="3:66">
      <c r="C10" s="69" t="str">
        <f>S30</f>
        <v>Not Cost Burdened</v>
      </c>
      <c r="D10" s="29"/>
      <c r="E10" s="29"/>
      <c r="F10" s="102">
        <f t="shared" ref="F10:L10" si="0">T30</f>
        <v>1330</v>
      </c>
      <c r="G10" s="102">
        <f t="shared" si="0"/>
        <v>15</v>
      </c>
      <c r="H10" s="102">
        <f t="shared" si="0"/>
        <v>65</v>
      </c>
      <c r="I10" s="102">
        <f t="shared" si="0"/>
        <v>0</v>
      </c>
      <c r="J10" s="102">
        <f t="shared" si="0"/>
        <v>0</v>
      </c>
      <c r="K10" s="102">
        <f t="shared" si="0"/>
        <v>15</v>
      </c>
      <c r="L10" s="102">
        <f t="shared" si="0"/>
        <v>120</v>
      </c>
      <c r="M10" s="102">
        <f>SUM(F10:L10)</f>
        <v>1545</v>
      </c>
      <c r="S10" s="33" t="s">
        <v>199</v>
      </c>
      <c r="T10" s="5">
        <f t="shared" ref="T10:AA13" si="1">T30+T50</f>
        <v>1725</v>
      </c>
      <c r="U10" s="5">
        <f t="shared" si="1"/>
        <v>15</v>
      </c>
      <c r="V10" s="5">
        <f t="shared" si="1"/>
        <v>65</v>
      </c>
      <c r="W10" s="5">
        <f t="shared" si="1"/>
        <v>0</v>
      </c>
      <c r="X10" s="5">
        <f t="shared" si="1"/>
        <v>0</v>
      </c>
      <c r="Y10" s="5">
        <f t="shared" si="1"/>
        <v>15</v>
      </c>
      <c r="Z10" s="5">
        <f t="shared" si="1"/>
        <v>120</v>
      </c>
      <c r="AA10" s="5">
        <f t="shared" si="1"/>
        <v>1940</v>
      </c>
      <c r="AB10" s="5"/>
      <c r="AC10" s="5"/>
      <c r="AD10" s="33" t="s">
        <v>199</v>
      </c>
      <c r="AE10" s="5">
        <f>V10</f>
        <v>65</v>
      </c>
      <c r="AF10" s="5">
        <f>U10</f>
        <v>15</v>
      </c>
      <c r="AG10" s="5">
        <f>'Cost Burden'!Z10</f>
        <v>120</v>
      </c>
      <c r="AH10" s="5">
        <f>SUM(W10:Y10)</f>
        <v>15</v>
      </c>
      <c r="AI10" s="5">
        <f t="shared" ref="AI10" si="2">SUM(U10:Z10)</f>
        <v>215</v>
      </c>
      <c r="AJ10" s="5">
        <f>T10</f>
        <v>1725</v>
      </c>
      <c r="AK10" s="5">
        <f t="shared" ref="AK10" si="3">SUM(AJ10,AE10:AH10)</f>
        <v>1940</v>
      </c>
      <c r="AQ10" s="31"/>
      <c r="BC10" s="41"/>
      <c r="BG10" s="323"/>
      <c r="BH10" s="323"/>
      <c r="BI10" s="323"/>
    </row>
    <row r="11" spans="3:66" ht="13.9" customHeight="1">
      <c r="C11" s="69" t="str">
        <f>S36</f>
        <v>Total Cost-Burdened</v>
      </c>
      <c r="D11" s="29"/>
      <c r="E11" s="29"/>
      <c r="F11" s="102">
        <f>T36</f>
        <v>275</v>
      </c>
      <c r="G11" s="102">
        <f t="shared" ref="G11:L11" si="4">U36</f>
        <v>0</v>
      </c>
      <c r="H11" s="102">
        <f t="shared" si="4"/>
        <v>30</v>
      </c>
      <c r="I11" s="102">
        <f t="shared" si="4"/>
        <v>0</v>
      </c>
      <c r="J11" s="102">
        <f t="shared" si="4"/>
        <v>0</v>
      </c>
      <c r="K11" s="102">
        <f t="shared" si="4"/>
        <v>0</v>
      </c>
      <c r="L11" s="102">
        <f t="shared" si="4"/>
        <v>0</v>
      </c>
      <c r="M11" s="102">
        <f t="shared" ref="M11:M14" si="5">SUM(F11:L11)</f>
        <v>305</v>
      </c>
      <c r="S11" s="33" t="s">
        <v>192</v>
      </c>
      <c r="T11" s="5">
        <f t="shared" si="1"/>
        <v>270</v>
      </c>
      <c r="U11" s="5">
        <f t="shared" si="1"/>
        <v>0</v>
      </c>
      <c r="V11" s="5">
        <f t="shared" si="1"/>
        <v>30</v>
      </c>
      <c r="W11" s="5">
        <f t="shared" si="1"/>
        <v>0</v>
      </c>
      <c r="X11" s="5">
        <f t="shared" si="1"/>
        <v>0</v>
      </c>
      <c r="Y11" s="5">
        <f t="shared" si="1"/>
        <v>0</v>
      </c>
      <c r="Z11" s="5">
        <f t="shared" si="1"/>
        <v>0</v>
      </c>
      <c r="AA11" s="5">
        <f t="shared" si="1"/>
        <v>300</v>
      </c>
      <c r="AB11" s="5"/>
      <c r="AC11" s="5"/>
      <c r="AD11" s="33" t="s">
        <v>192</v>
      </c>
      <c r="AE11" s="5">
        <f t="shared" ref="AE11:AE14" si="6">V11</f>
        <v>30</v>
      </c>
      <c r="AF11" s="5">
        <f t="shared" ref="AF11:AF13" si="7">U11</f>
        <v>0</v>
      </c>
      <c r="AG11" s="5">
        <f>'Cost Burden'!Z11</f>
        <v>0</v>
      </c>
      <c r="AH11" s="5">
        <f t="shared" ref="AH11:AH13" si="8">SUM(W11:Y11)</f>
        <v>0</v>
      </c>
      <c r="AI11" s="5">
        <f t="shared" ref="AI11:AI13" si="9">SUM(U11:Z11)</f>
        <v>30</v>
      </c>
      <c r="AJ11" s="5">
        <f t="shared" ref="AJ11:AJ13" si="10">T11</f>
        <v>270</v>
      </c>
      <c r="AK11" s="5">
        <f t="shared" ref="AK11:AK13" si="11">SUM(AJ11,AE11:AH11)</f>
        <v>300</v>
      </c>
      <c r="AQ11" s="31"/>
      <c r="BC11" s="41"/>
      <c r="BH11" s="197"/>
    </row>
    <row r="12" spans="3:66">
      <c r="C12" s="117" t="str">
        <f>S31</f>
        <v>Cost-Burdened (30-50%)</v>
      </c>
      <c r="D12" s="118"/>
      <c r="E12" s="118"/>
      <c r="F12" s="214">
        <f t="shared" ref="F12:L14" si="12">T31</f>
        <v>145</v>
      </c>
      <c r="G12" s="214">
        <f t="shared" si="12"/>
        <v>0</v>
      </c>
      <c r="H12" s="214">
        <f t="shared" si="12"/>
        <v>30</v>
      </c>
      <c r="I12" s="214">
        <f t="shared" si="12"/>
        <v>0</v>
      </c>
      <c r="J12" s="214">
        <f t="shared" si="12"/>
        <v>0</v>
      </c>
      <c r="K12" s="214">
        <f t="shared" si="12"/>
        <v>0</v>
      </c>
      <c r="L12" s="214">
        <f t="shared" si="12"/>
        <v>0</v>
      </c>
      <c r="M12" s="214">
        <f t="shared" si="5"/>
        <v>175</v>
      </c>
      <c r="S12" s="33" t="s">
        <v>191</v>
      </c>
      <c r="T12" s="5">
        <f t="shared" si="1"/>
        <v>315</v>
      </c>
      <c r="U12" s="5">
        <f t="shared" si="1"/>
        <v>0</v>
      </c>
      <c r="V12" s="5">
        <f t="shared" si="1"/>
        <v>0</v>
      </c>
      <c r="W12" s="5">
        <f t="shared" si="1"/>
        <v>0</v>
      </c>
      <c r="X12" s="5">
        <f t="shared" si="1"/>
        <v>0</v>
      </c>
      <c r="Y12" s="5">
        <f t="shared" si="1"/>
        <v>0</v>
      </c>
      <c r="Z12" s="5">
        <f t="shared" si="1"/>
        <v>45</v>
      </c>
      <c r="AA12" s="5">
        <f t="shared" si="1"/>
        <v>360</v>
      </c>
      <c r="AB12" s="5"/>
      <c r="AC12" s="5"/>
      <c r="AD12" s="33" t="s">
        <v>191</v>
      </c>
      <c r="AE12" s="5">
        <f t="shared" si="6"/>
        <v>0</v>
      </c>
      <c r="AF12" s="5">
        <f t="shared" si="7"/>
        <v>0</v>
      </c>
      <c r="AG12" s="5">
        <f>'Cost Burden'!Z12</f>
        <v>45</v>
      </c>
      <c r="AH12" s="5">
        <f t="shared" si="8"/>
        <v>0</v>
      </c>
      <c r="AI12" s="5">
        <f t="shared" si="9"/>
        <v>45</v>
      </c>
      <c r="AJ12" s="5">
        <f t="shared" si="10"/>
        <v>315</v>
      </c>
      <c r="AK12" s="5">
        <f t="shared" si="11"/>
        <v>360</v>
      </c>
      <c r="AQ12" s="31"/>
      <c r="BC12" s="41"/>
      <c r="BG12" s="323" t="s">
        <v>192</v>
      </c>
      <c r="BH12" s="323"/>
      <c r="BI12" s="323"/>
    </row>
    <row r="13" spans="3:66">
      <c r="C13" s="117" t="str">
        <f>S32</f>
        <v>Severely Cost-Burdened (&gt;50%)</v>
      </c>
      <c r="D13" s="118"/>
      <c r="E13" s="118"/>
      <c r="F13" s="214">
        <f t="shared" si="12"/>
        <v>130</v>
      </c>
      <c r="G13" s="214">
        <f t="shared" si="12"/>
        <v>0</v>
      </c>
      <c r="H13" s="214">
        <f t="shared" si="12"/>
        <v>0</v>
      </c>
      <c r="I13" s="214">
        <f t="shared" si="12"/>
        <v>0</v>
      </c>
      <c r="J13" s="214">
        <f t="shared" si="12"/>
        <v>0</v>
      </c>
      <c r="K13" s="214">
        <f t="shared" si="12"/>
        <v>0</v>
      </c>
      <c r="L13" s="214">
        <f t="shared" si="12"/>
        <v>0</v>
      </c>
      <c r="M13" s="214">
        <f t="shared" si="5"/>
        <v>130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23"/>
      <c r="BH13" s="323"/>
      <c r="BI13" s="323"/>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2310</v>
      </c>
      <c r="U14" s="37">
        <f t="shared" si="13"/>
        <v>15</v>
      </c>
      <c r="V14" s="37">
        <f t="shared" si="13"/>
        <v>95</v>
      </c>
      <c r="W14" s="37">
        <f t="shared" si="13"/>
        <v>0</v>
      </c>
      <c r="X14" s="37">
        <f t="shared" si="13"/>
        <v>0</v>
      </c>
      <c r="Y14" s="37">
        <f t="shared" si="13"/>
        <v>15</v>
      </c>
      <c r="Z14" s="37">
        <f t="shared" si="13"/>
        <v>165</v>
      </c>
      <c r="AA14" s="37">
        <f>AA34+AA54</f>
        <v>2600</v>
      </c>
      <c r="AB14" s="5"/>
      <c r="AC14" s="5"/>
      <c r="AD14" s="34" t="s">
        <v>150</v>
      </c>
      <c r="AE14" s="37">
        <f t="shared" si="6"/>
        <v>95</v>
      </c>
      <c r="AF14" s="37">
        <f t="shared" ref="AF14" si="14">U14</f>
        <v>15</v>
      </c>
      <c r="AG14" s="37">
        <f>'Cost Burden'!Z14</f>
        <v>165</v>
      </c>
      <c r="AH14" s="37">
        <f t="shared" ref="AH14" si="15">SUM(W14:Y14)</f>
        <v>15</v>
      </c>
      <c r="AI14" s="37">
        <f t="shared" ref="AI14" si="16">SUM(U14:Z14)</f>
        <v>290</v>
      </c>
      <c r="AJ14" s="37">
        <f t="shared" ref="AJ14" si="17">T14</f>
        <v>2310</v>
      </c>
      <c r="AK14" s="58">
        <f>AA14</f>
        <v>2600</v>
      </c>
      <c r="BC14" s="41"/>
      <c r="BH14" s="196"/>
    </row>
    <row r="15" spans="3:66" ht="15">
      <c r="C15" s="29"/>
      <c r="D15" s="29"/>
      <c r="E15" s="75" t="str">
        <f>S14</f>
        <v>Total</v>
      </c>
      <c r="F15" s="104">
        <f>T34</f>
        <v>1605</v>
      </c>
      <c r="G15" s="104">
        <f t="shared" ref="G15:L15" si="18">U34</f>
        <v>15</v>
      </c>
      <c r="H15" s="104">
        <f t="shared" si="18"/>
        <v>95</v>
      </c>
      <c r="I15" s="104">
        <f t="shared" si="18"/>
        <v>0</v>
      </c>
      <c r="J15" s="104">
        <f t="shared" si="18"/>
        <v>0</v>
      </c>
      <c r="K15" s="104">
        <f t="shared" si="18"/>
        <v>15</v>
      </c>
      <c r="L15" s="104">
        <f t="shared" si="18"/>
        <v>120</v>
      </c>
      <c r="M15" s="104">
        <f>SUM(F15:L15)</f>
        <v>1850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3" t="s">
        <v>191</v>
      </c>
      <c r="BH15" s="323"/>
      <c r="BI15" s="323"/>
    </row>
    <row r="16" spans="3:66">
      <c r="C16" s="79" t="s">
        <v>201</v>
      </c>
      <c r="D16" s="79"/>
      <c r="E16" s="79"/>
      <c r="F16" s="105"/>
      <c r="G16" s="105"/>
      <c r="H16" s="105"/>
      <c r="I16" s="105"/>
      <c r="J16" s="105"/>
      <c r="K16" s="105"/>
      <c r="L16" s="105"/>
      <c r="M16" s="105"/>
      <c r="S16" s="114" t="s">
        <v>202</v>
      </c>
      <c r="T16" s="114">
        <f t="shared" ref="T16:Z16" si="20">T37+T56</f>
        <v>310</v>
      </c>
      <c r="U16" s="114">
        <f t="shared" si="20"/>
        <v>0</v>
      </c>
      <c r="V16" s="114">
        <f t="shared" si="20"/>
        <v>0</v>
      </c>
      <c r="W16" s="114">
        <f t="shared" si="20"/>
        <v>0</v>
      </c>
      <c r="X16" s="114">
        <f t="shared" si="20"/>
        <v>0</v>
      </c>
      <c r="Y16" s="114">
        <f t="shared" si="20"/>
        <v>0</v>
      </c>
      <c r="Z16" s="114">
        <f t="shared" si="20"/>
        <v>45</v>
      </c>
      <c r="AA16" s="5"/>
      <c r="AB16" s="5"/>
      <c r="AC16" s="5"/>
      <c r="AD16" s="114" t="s">
        <v>202</v>
      </c>
      <c r="AE16" s="114">
        <f>V16</f>
        <v>0</v>
      </c>
      <c r="AF16" s="114">
        <f>U16</f>
        <v>0</v>
      </c>
      <c r="AG16" s="114">
        <f>'Cost Burden'!Z16</f>
        <v>45</v>
      </c>
      <c r="AH16" s="114">
        <f>SUM(W16:Y16)</f>
        <v>0</v>
      </c>
      <c r="AI16" s="114">
        <f>SUM(U16:Z16)</f>
        <v>45</v>
      </c>
      <c r="AJ16" s="114">
        <f>T16</f>
        <v>310</v>
      </c>
      <c r="AK16" s="114">
        <f>SUM(AJ16,AE16:AH16)</f>
        <v>355</v>
      </c>
      <c r="BC16" s="41"/>
      <c r="BG16" s="323"/>
      <c r="BH16" s="323"/>
      <c r="BI16" s="323"/>
    </row>
    <row r="17" spans="3:55">
      <c r="C17" s="69" t="str">
        <f>S50</f>
        <v>Not Cost Burdened</v>
      </c>
      <c r="D17" s="29"/>
      <c r="E17" s="29"/>
      <c r="F17" s="102">
        <f t="shared" ref="F17:L17" si="21">T50</f>
        <v>395</v>
      </c>
      <c r="G17" s="102">
        <f t="shared" si="21"/>
        <v>0</v>
      </c>
      <c r="H17" s="102">
        <f t="shared" si="21"/>
        <v>0</v>
      </c>
      <c r="I17" s="102">
        <f t="shared" si="21"/>
        <v>0</v>
      </c>
      <c r="J17" s="102">
        <f t="shared" si="21"/>
        <v>0</v>
      </c>
      <c r="K17" s="102">
        <f t="shared" si="21"/>
        <v>0</v>
      </c>
      <c r="L17" s="102">
        <f t="shared" si="21"/>
        <v>0</v>
      </c>
      <c r="M17" s="102">
        <f>SUM(F17:L17)</f>
        <v>395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310</v>
      </c>
      <c r="G18" s="102">
        <f t="shared" si="22"/>
        <v>0</v>
      </c>
      <c r="H18" s="102">
        <f t="shared" si="22"/>
        <v>0</v>
      </c>
      <c r="I18" s="102">
        <f t="shared" si="22"/>
        <v>0</v>
      </c>
      <c r="J18" s="102">
        <f t="shared" si="22"/>
        <v>0</v>
      </c>
      <c r="K18" s="102">
        <f t="shared" si="22"/>
        <v>0</v>
      </c>
      <c r="L18" s="102">
        <f t="shared" si="22"/>
        <v>45</v>
      </c>
      <c r="M18" s="102">
        <f t="shared" ref="M18:M21" si="23">SUM(F18:L18)</f>
        <v>355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125</v>
      </c>
      <c r="G19" s="119">
        <f t="shared" si="24"/>
        <v>0</v>
      </c>
      <c r="H19" s="119">
        <f t="shared" si="24"/>
        <v>0</v>
      </c>
      <c r="I19" s="119">
        <f t="shared" si="24"/>
        <v>0</v>
      </c>
      <c r="J19" s="119">
        <f t="shared" si="24"/>
        <v>0</v>
      </c>
      <c r="K19" s="119">
        <f t="shared" si="24"/>
        <v>0</v>
      </c>
      <c r="L19" s="119">
        <f t="shared" si="24"/>
        <v>0</v>
      </c>
      <c r="M19" s="102">
        <f t="shared" si="23"/>
        <v>125</v>
      </c>
      <c r="S19" s="5"/>
      <c r="T19" s="5"/>
      <c r="U19" s="5"/>
      <c r="V19" s="5"/>
      <c r="W19" s="5"/>
      <c r="X19" s="5"/>
      <c r="Y19" s="5"/>
      <c r="Z19" s="5"/>
      <c r="AA19" s="5"/>
      <c r="AB19" s="5"/>
      <c r="AC19" s="5"/>
      <c r="AE19" s="310" t="s">
        <v>146</v>
      </c>
      <c r="AF19" s="311" t="s">
        <v>140</v>
      </c>
      <c r="AG19" s="312" t="s">
        <v>158</v>
      </c>
      <c r="AH19" s="310" t="s">
        <v>196</v>
      </c>
      <c r="AI19" s="309" t="s">
        <v>197</v>
      </c>
      <c r="AJ19" s="309" t="s">
        <v>137</v>
      </c>
      <c r="AK19" s="310" t="s">
        <v>150</v>
      </c>
      <c r="BC19" s="41"/>
    </row>
    <row r="20" spans="3:55" ht="15" customHeight="1">
      <c r="C20" s="117" t="str">
        <f>S52</f>
        <v>Severely Cost-Burdened (&gt;50%)</v>
      </c>
      <c r="D20" s="120"/>
      <c r="E20" s="118"/>
      <c r="F20" s="119">
        <f t="shared" si="24"/>
        <v>185</v>
      </c>
      <c r="G20" s="119">
        <f t="shared" si="24"/>
        <v>0</v>
      </c>
      <c r="H20" s="119">
        <f t="shared" si="24"/>
        <v>0</v>
      </c>
      <c r="I20" s="119">
        <f t="shared" si="24"/>
        <v>0</v>
      </c>
      <c r="J20" s="119">
        <f t="shared" si="24"/>
        <v>0</v>
      </c>
      <c r="K20" s="119">
        <f t="shared" si="24"/>
        <v>0</v>
      </c>
      <c r="L20" s="119">
        <f t="shared" si="24"/>
        <v>45</v>
      </c>
      <c r="M20" s="102">
        <f t="shared" si="23"/>
        <v>230</v>
      </c>
      <c r="R20" s="98"/>
      <c r="T20" s="57" t="s">
        <v>81</v>
      </c>
      <c r="U20" s="57" t="s">
        <v>81</v>
      </c>
      <c r="V20" s="57" t="s">
        <v>81</v>
      </c>
      <c r="W20" s="57" t="s">
        <v>81</v>
      </c>
      <c r="X20" s="57" t="s">
        <v>81</v>
      </c>
      <c r="Y20" s="57" t="s">
        <v>81</v>
      </c>
      <c r="Z20" s="57" t="s">
        <v>81</v>
      </c>
      <c r="AA20" s="5"/>
      <c r="AB20" s="5"/>
      <c r="AC20" s="5"/>
      <c r="AD20" s="5"/>
      <c r="AE20" s="310"/>
      <c r="AF20" s="311"/>
      <c r="AG20" s="312"/>
      <c r="AH20" s="310"/>
      <c r="AI20" s="309"/>
      <c r="AJ20" s="309"/>
      <c r="AK20" s="310"/>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0"/>
      <c r="AF21" s="311"/>
      <c r="AG21" s="312"/>
      <c r="AH21" s="310"/>
      <c r="AI21" s="309"/>
      <c r="AJ21" s="309"/>
      <c r="AK21" s="310"/>
      <c r="AQ21" s="31"/>
      <c r="BC21" s="41"/>
    </row>
    <row r="22" spans="3:55" ht="14.25" customHeight="1">
      <c r="C22" s="71"/>
      <c r="D22" s="70"/>
      <c r="E22" s="76" t="s">
        <v>150</v>
      </c>
      <c r="F22" s="106">
        <f>T54</f>
        <v>705</v>
      </c>
      <c r="G22" s="106">
        <f t="shared" ref="G22:L22" si="25">U54</f>
        <v>0</v>
      </c>
      <c r="H22" s="106">
        <f t="shared" si="25"/>
        <v>0</v>
      </c>
      <c r="I22" s="106">
        <f t="shared" si="25"/>
        <v>0</v>
      </c>
      <c r="J22" s="106">
        <f t="shared" si="25"/>
        <v>0</v>
      </c>
      <c r="K22" s="106">
        <f t="shared" si="25"/>
        <v>0</v>
      </c>
      <c r="L22" s="106">
        <f t="shared" si="25"/>
        <v>45</v>
      </c>
      <c r="M22" s="104">
        <f>SUM(F22:L22)</f>
        <v>750</v>
      </c>
      <c r="S22" s="33" t="s">
        <v>199</v>
      </c>
      <c r="T22" s="96" t="s">
        <v>206</v>
      </c>
      <c r="U22" s="96" t="s">
        <v>207</v>
      </c>
      <c r="V22" s="96" t="s">
        <v>208</v>
      </c>
      <c r="W22" s="96" t="s">
        <v>209</v>
      </c>
      <c r="X22" s="96" t="s">
        <v>210</v>
      </c>
      <c r="Y22" s="96" t="s">
        <v>211</v>
      </c>
      <c r="Z22" s="96" t="s">
        <v>212</v>
      </c>
      <c r="AA22" s="5"/>
      <c r="AB22" s="5"/>
      <c r="AC22" s="5"/>
      <c r="AD22" s="33" t="s">
        <v>199</v>
      </c>
      <c r="AE22" s="5">
        <f>V30</f>
        <v>65</v>
      </c>
      <c r="AF22" s="5">
        <f>U30</f>
        <v>15</v>
      </c>
      <c r="AG22" s="5">
        <f>'Cost Burden'!Z30</f>
        <v>120</v>
      </c>
      <c r="AH22" s="5">
        <f>SUM(W30:Y30)</f>
        <v>15</v>
      </c>
      <c r="AI22" s="5">
        <f>SUM(U30:Z30)</f>
        <v>215</v>
      </c>
      <c r="AJ22" s="5">
        <f>T30</f>
        <v>1330</v>
      </c>
      <c r="AK22" s="5">
        <f>AA30</f>
        <v>1545</v>
      </c>
      <c r="AQ22" s="31"/>
      <c r="BC22" s="41"/>
    </row>
    <row r="23" spans="3:55" ht="14.25" customHeight="1" thickBot="1">
      <c r="C23" s="77"/>
      <c r="D23" s="77"/>
      <c r="E23" s="78" t="s">
        <v>213</v>
      </c>
      <c r="F23" s="107">
        <f>SUM(F15,F22)</f>
        <v>2310</v>
      </c>
      <c r="G23" s="107">
        <f t="shared" ref="G23:M23" si="26">SUM(G15,G22)</f>
        <v>15</v>
      </c>
      <c r="H23" s="107">
        <f t="shared" si="26"/>
        <v>95</v>
      </c>
      <c r="I23" s="107">
        <f t="shared" si="26"/>
        <v>0</v>
      </c>
      <c r="J23" s="107">
        <f t="shared" si="26"/>
        <v>0</v>
      </c>
      <c r="K23" s="107">
        <f t="shared" si="26"/>
        <v>15</v>
      </c>
      <c r="L23" s="107">
        <f t="shared" si="26"/>
        <v>165</v>
      </c>
      <c r="M23" s="107">
        <f t="shared" si="26"/>
        <v>2600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30</v>
      </c>
      <c r="AF23" s="5">
        <f t="shared" ref="AF23:AF26" si="28">U31</f>
        <v>0</v>
      </c>
      <c r="AG23" s="5">
        <f>'Cost Burden'!Z31</f>
        <v>0</v>
      </c>
      <c r="AH23" s="5">
        <f t="shared" ref="AH23:AH26" si="29">SUM(W31:Y31)</f>
        <v>0</v>
      </c>
      <c r="AI23" s="5">
        <f t="shared" ref="AI23:AI26" si="30">SUM(U31:Z31)</f>
        <v>30</v>
      </c>
      <c r="AJ23" s="5">
        <f t="shared" ref="AJ23:AJ26" si="31">T31</f>
        <v>145</v>
      </c>
      <c r="AK23" s="5">
        <f t="shared" ref="AK23:AK25" si="32">AA31</f>
        <v>175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130</v>
      </c>
      <c r="AK24" s="5">
        <f t="shared" si="32"/>
        <v>130</v>
      </c>
      <c r="BC24" s="41"/>
    </row>
    <row r="25" spans="3:55">
      <c r="C25" s="303" t="s">
        <v>228</v>
      </c>
      <c r="D25" s="303"/>
      <c r="E25" s="303"/>
      <c r="F25" s="303"/>
      <c r="G25" s="303"/>
      <c r="H25" s="303"/>
      <c r="I25" s="303"/>
      <c r="J25" s="303"/>
      <c r="K25" s="303"/>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303"/>
      <c r="D26" s="303"/>
      <c r="E26" s="303"/>
      <c r="F26" s="303"/>
      <c r="G26" s="303"/>
      <c r="H26" s="303"/>
      <c r="I26" s="303"/>
      <c r="J26" s="303"/>
      <c r="K26" s="303"/>
      <c r="S26" s="33" t="s">
        <v>190</v>
      </c>
      <c r="T26" s="96" t="s">
        <v>236</v>
      </c>
      <c r="U26" s="96" t="s">
        <v>237</v>
      </c>
      <c r="V26" s="96" t="s">
        <v>238</v>
      </c>
      <c r="W26" s="96" t="s">
        <v>239</v>
      </c>
      <c r="X26" s="96" t="s">
        <v>240</v>
      </c>
      <c r="Y26" s="96" t="s">
        <v>241</v>
      </c>
      <c r="Z26" s="96" t="s">
        <v>242</v>
      </c>
      <c r="AA26" s="5"/>
      <c r="AB26" s="5"/>
      <c r="AC26" s="5"/>
      <c r="AD26" s="34" t="s">
        <v>150</v>
      </c>
      <c r="AE26" s="37">
        <f t="shared" si="27"/>
        <v>95</v>
      </c>
      <c r="AF26" s="37">
        <f t="shared" si="28"/>
        <v>15</v>
      </c>
      <c r="AG26" s="37">
        <f>'Cost Burden'!Z34</f>
        <v>120</v>
      </c>
      <c r="AH26" s="37">
        <f t="shared" si="29"/>
        <v>15</v>
      </c>
      <c r="AI26" s="37">
        <f t="shared" si="30"/>
        <v>245</v>
      </c>
      <c r="AJ26" s="37">
        <f t="shared" si="31"/>
        <v>1605</v>
      </c>
      <c r="AK26" s="37">
        <f>SUM(AJ26,AE26:AH26)</f>
        <v>1850</v>
      </c>
    </row>
    <row r="27" spans="3:55" ht="9" customHeight="1">
      <c r="AA27" s="5"/>
      <c r="AB27" s="5"/>
      <c r="AC27" s="37"/>
    </row>
    <row r="28" spans="3:55">
      <c r="AA28" s="5"/>
      <c r="AB28" s="5"/>
      <c r="AC28" s="5"/>
      <c r="AD28" s="5"/>
      <c r="AE28" s="5"/>
      <c r="AF28" s="5"/>
      <c r="AG28" s="5"/>
      <c r="AH28" s="5"/>
      <c r="AI28" s="5"/>
      <c r="AJ28" s="5"/>
      <c r="AK28" s="5"/>
    </row>
    <row r="29" spans="3:55" ht="19.5" customHeight="1">
      <c r="C29" s="304" t="str">
        <f>"Chart 4. "&amp;City_label&amp;" total housing cost burden by racial and ethnic group, 2019"</f>
        <v>Chart 4. North Bend total housing cost burden by racial and ethnic group, 2019</v>
      </c>
      <c r="D29" s="304"/>
      <c r="E29" s="304"/>
      <c r="F29" s="304"/>
      <c r="G29" s="304"/>
      <c r="H29" s="304"/>
      <c r="I29" s="304"/>
      <c r="J29" s="304"/>
      <c r="K29" s="304"/>
      <c r="L29" s="304"/>
      <c r="M29" s="304"/>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4"/>
      <c r="D30" s="304"/>
      <c r="E30" s="304"/>
      <c r="F30" s="304"/>
      <c r="G30" s="304"/>
      <c r="H30" s="304"/>
      <c r="I30" s="304"/>
      <c r="J30" s="304"/>
      <c r="K30" s="304"/>
      <c r="L30" s="304"/>
      <c r="M30" s="304"/>
      <c r="S30" s="33" t="s">
        <v>199</v>
      </c>
      <c r="T30" s="1">
        <v>1330</v>
      </c>
      <c r="U30" s="1">
        <v>15</v>
      </c>
      <c r="V30" s="1">
        <v>65</v>
      </c>
      <c r="W30" s="1">
        <v>0</v>
      </c>
      <c r="X30" s="1">
        <v>0</v>
      </c>
      <c r="Y30" s="1">
        <v>15</v>
      </c>
      <c r="Z30" s="1">
        <v>120</v>
      </c>
      <c r="AA30" s="5">
        <f>SUM(T30:Z30)</f>
        <v>1545</v>
      </c>
      <c r="AB30" s="5"/>
      <c r="AC30" s="5"/>
      <c r="AE30" s="310" t="s">
        <v>146</v>
      </c>
      <c r="AF30" s="311" t="s">
        <v>140</v>
      </c>
      <c r="AG30" s="312" t="s">
        <v>189</v>
      </c>
      <c r="AH30" s="310" t="s">
        <v>196</v>
      </c>
      <c r="AI30" s="309" t="s">
        <v>197</v>
      </c>
      <c r="AJ30" s="309" t="s">
        <v>137</v>
      </c>
      <c r="AK30" s="310" t="s">
        <v>150</v>
      </c>
    </row>
    <row r="31" spans="3:55" ht="14.25" customHeight="1">
      <c r="C31" s="5"/>
      <c r="R31" s="98"/>
      <c r="S31" s="33" t="s">
        <v>192</v>
      </c>
      <c r="T31" s="1">
        <v>145</v>
      </c>
      <c r="U31" s="1">
        <v>0</v>
      </c>
      <c r="V31" s="1">
        <v>30</v>
      </c>
      <c r="W31" s="1">
        <v>0</v>
      </c>
      <c r="X31" s="1">
        <v>0</v>
      </c>
      <c r="Y31" s="1">
        <v>0</v>
      </c>
      <c r="Z31" s="1">
        <v>0</v>
      </c>
      <c r="AA31" s="5">
        <f t="shared" ref="AA31:AA34" si="33">SUM(T31:Z31)</f>
        <v>175</v>
      </c>
      <c r="AB31" s="5"/>
      <c r="AC31" s="5"/>
      <c r="AD31" s="5"/>
      <c r="AE31" s="310"/>
      <c r="AF31" s="311"/>
      <c r="AG31" s="312"/>
      <c r="AH31" s="310"/>
      <c r="AI31" s="309"/>
      <c r="AJ31" s="309"/>
      <c r="AK31" s="310"/>
    </row>
    <row r="32" spans="3:55" ht="14.25" customHeight="1">
      <c r="C32" s="5"/>
      <c r="S32" s="33" t="s">
        <v>191</v>
      </c>
      <c r="T32" s="1">
        <v>130</v>
      </c>
      <c r="U32" s="1">
        <v>0</v>
      </c>
      <c r="V32" s="1">
        <v>0</v>
      </c>
      <c r="W32" s="1">
        <v>0</v>
      </c>
      <c r="X32" s="1">
        <v>0</v>
      </c>
      <c r="Y32" s="1">
        <v>0</v>
      </c>
      <c r="Z32" s="1">
        <v>0</v>
      </c>
      <c r="AA32" s="5">
        <f t="shared" si="33"/>
        <v>130</v>
      </c>
      <c r="AB32" s="5"/>
      <c r="AC32" s="5"/>
      <c r="AD32" s="5"/>
      <c r="AE32" s="310"/>
      <c r="AF32" s="311"/>
      <c r="AG32" s="312"/>
      <c r="AH32" s="310"/>
      <c r="AI32" s="309"/>
      <c r="AJ32" s="309"/>
      <c r="AK32" s="310"/>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395</v>
      </c>
      <c r="AK33" s="5">
        <f t="shared" ref="AK33" si="34">SUM(AJ33,AE33:AH33)</f>
        <v>395</v>
      </c>
    </row>
    <row r="34" spans="3:49" ht="15">
      <c r="S34" s="33" t="s">
        <v>190</v>
      </c>
      <c r="T34" s="1">
        <v>1605</v>
      </c>
      <c r="U34" s="1">
        <v>15</v>
      </c>
      <c r="V34" s="1">
        <v>95</v>
      </c>
      <c r="W34" s="1">
        <v>0</v>
      </c>
      <c r="X34" s="1">
        <v>0</v>
      </c>
      <c r="Y34" s="1">
        <v>15</v>
      </c>
      <c r="Z34" s="1">
        <v>120</v>
      </c>
      <c r="AA34" s="37">
        <f t="shared" si="33"/>
        <v>1850</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125</v>
      </c>
      <c r="AK34" s="5">
        <f t="shared" ref="AK34:AK37" si="40">SUM(AJ34,AE34:AH34)</f>
        <v>125</v>
      </c>
    </row>
    <row r="35" spans="3:49" ht="15">
      <c r="C35" s="39"/>
      <c r="AA35" s="5"/>
      <c r="AB35" s="5"/>
      <c r="AC35" s="5"/>
      <c r="AD35" s="33" t="s">
        <v>191</v>
      </c>
      <c r="AE35" s="5">
        <f t="shared" si="35"/>
        <v>0</v>
      </c>
      <c r="AF35" s="5">
        <f t="shared" si="36"/>
        <v>0</v>
      </c>
      <c r="AG35" s="5">
        <f>'Cost Burden'!Z52</f>
        <v>45</v>
      </c>
      <c r="AH35" s="5">
        <f t="shared" si="37"/>
        <v>0</v>
      </c>
      <c r="AI35" s="5">
        <f t="shared" si="38"/>
        <v>45</v>
      </c>
      <c r="AJ35" s="5">
        <f t="shared" si="39"/>
        <v>185</v>
      </c>
      <c r="AK35" s="5">
        <f t="shared" si="40"/>
        <v>230</v>
      </c>
    </row>
    <row r="36" spans="3:49">
      <c r="S36" s="114" t="s">
        <v>202</v>
      </c>
      <c r="T36" s="114">
        <f>SUM(T31:T32)</f>
        <v>275</v>
      </c>
      <c r="U36" s="114">
        <f t="shared" ref="U36:Z36" si="41">SUM(U31:U32)</f>
        <v>0</v>
      </c>
      <c r="V36" s="114">
        <f t="shared" si="41"/>
        <v>30</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45</v>
      </c>
      <c r="AH37" s="37">
        <f t="shared" si="37"/>
        <v>0</v>
      </c>
      <c r="AI37" s="37">
        <f t="shared" si="38"/>
        <v>45</v>
      </c>
      <c r="AJ37" s="37">
        <f t="shared" si="39"/>
        <v>705</v>
      </c>
      <c r="AK37" s="37">
        <f t="shared" si="40"/>
        <v>750</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45</v>
      </c>
      <c r="AH39" s="114">
        <f>SUM(W56:Y56)</f>
        <v>0</v>
      </c>
      <c r="AI39" s="114">
        <f>SUM(U56:Z56)</f>
        <v>45</v>
      </c>
      <c r="AJ39" s="114">
        <f>T56</f>
        <v>310</v>
      </c>
      <c r="AK39" s="114">
        <f>SUM(AJ39,AE39:AH39)</f>
        <v>355</v>
      </c>
    </row>
    <row r="40" spans="3:49">
      <c r="T40" s="57" t="s">
        <v>81</v>
      </c>
      <c r="U40" s="57" t="s">
        <v>81</v>
      </c>
      <c r="V40" s="57" t="s">
        <v>81</v>
      </c>
      <c r="W40" s="57" t="s">
        <v>81</v>
      </c>
      <c r="X40" s="57" t="s">
        <v>81</v>
      </c>
      <c r="Y40" s="57" t="s">
        <v>81</v>
      </c>
      <c r="Z40" s="57" t="s">
        <v>81</v>
      </c>
      <c r="AE40" s="6">
        <f>AJ39/AJ37</f>
        <v>0.43971631205673761</v>
      </c>
      <c r="AF40" s="6">
        <f>AI39/AI37</f>
        <v>1</v>
      </c>
      <c r="AG40" s="6" t="e">
        <f>AE39/AE37</f>
        <v>#DIV/0!</v>
      </c>
      <c r="AH40" s="6" t="e">
        <f>AF39/AF37</f>
        <v>#DIV/0!</v>
      </c>
      <c r="AI40" s="6" t="e">
        <f>AH39/AH37</f>
        <v>#DIV/0!</v>
      </c>
      <c r="AJ40" s="6">
        <f>AG39/AG37</f>
        <v>1</v>
      </c>
      <c r="AK40" s="6">
        <f>AK39/AK37</f>
        <v>0.47333333333333333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0" t="s">
        <v>146</v>
      </c>
      <c r="AF43" s="311" t="s">
        <v>140</v>
      </c>
      <c r="AG43" s="312" t="s">
        <v>189</v>
      </c>
      <c r="AH43" s="310" t="s">
        <v>196</v>
      </c>
      <c r="AI43" s="309"/>
      <c r="AJ43" s="309" t="s">
        <v>197</v>
      </c>
      <c r="AK43" s="310" t="s">
        <v>137</v>
      </c>
      <c r="AW43" s="31"/>
    </row>
    <row r="44" spans="3:49">
      <c r="S44" s="33" t="s">
        <v>191</v>
      </c>
      <c r="T44" s="96" t="s">
        <v>259</v>
      </c>
      <c r="U44" s="96" t="s">
        <v>260</v>
      </c>
      <c r="V44" s="96" t="s">
        <v>261</v>
      </c>
      <c r="W44" s="96" t="s">
        <v>262</v>
      </c>
      <c r="X44" s="96" t="s">
        <v>263</v>
      </c>
      <c r="Y44" s="96" t="s">
        <v>264</v>
      </c>
      <c r="Z44" s="96" t="s">
        <v>265</v>
      </c>
      <c r="AE44" s="310"/>
      <c r="AF44" s="311"/>
      <c r="AG44" s="312"/>
      <c r="AH44" s="310"/>
      <c r="AI44" s="309"/>
      <c r="AJ44" s="309"/>
      <c r="AK44" s="310"/>
    </row>
    <row r="45" spans="3:49">
      <c r="S45" s="33" t="s">
        <v>194</v>
      </c>
      <c r="T45" s="96" t="s">
        <v>266</v>
      </c>
      <c r="U45" s="96" t="s">
        <v>267</v>
      </c>
      <c r="V45" s="96" t="s">
        <v>268</v>
      </c>
      <c r="W45" s="96" t="s">
        <v>269</v>
      </c>
      <c r="X45" s="96" t="s">
        <v>270</v>
      </c>
      <c r="Y45" s="96" t="s">
        <v>271</v>
      </c>
      <c r="Z45" s="96" t="s">
        <v>272</v>
      </c>
      <c r="AE45" s="310"/>
      <c r="AF45" s="311"/>
      <c r="AG45" s="312"/>
      <c r="AH45" s="310"/>
      <c r="AI45" s="309"/>
      <c r="AJ45" s="309"/>
      <c r="AK45" s="310"/>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0.31578947368421051</v>
      </c>
      <c r="AF47" s="44" t="str">
        <f t="shared" ref="AF47:AK47" si="42">IFERROR(IF(SUM(AF51:AF52)&gt;0, SUM(AF51:AF52), "0"), "0")</f>
        <v>0</v>
      </c>
      <c r="AG47" s="44">
        <f t="shared" si="42"/>
        <v>0.27272727272727271</v>
      </c>
      <c r="AH47" s="44" t="str">
        <f t="shared" si="42"/>
        <v>0</v>
      </c>
      <c r="AJ47" s="44">
        <f t="shared" si="42"/>
        <v>0.25862068965517243</v>
      </c>
      <c r="AK47" s="44">
        <f t="shared" si="42"/>
        <v>0.25324675324675322</v>
      </c>
    </row>
    <row r="48" spans="3:49" ht="14.25" customHeight="1">
      <c r="AC48" s="31"/>
      <c r="AD48" s="31" t="s">
        <v>281</v>
      </c>
      <c r="AE48" s="44">
        <f>1-AE47</f>
        <v>0.68421052631578949</v>
      </c>
      <c r="AF48" s="44">
        <f>1-AF47</f>
        <v>1</v>
      </c>
      <c r="AG48" s="44">
        <f>1-AG47</f>
        <v>0.72727272727272729</v>
      </c>
      <c r="AH48" s="44">
        <f>1-AH47</f>
        <v>1</v>
      </c>
      <c r="AJ48" s="44">
        <f>1-AJ47</f>
        <v>0.74137931034482762</v>
      </c>
      <c r="AK48" s="44">
        <f>1-AK47</f>
        <v>0.74675324675324672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16" t="s">
        <v>228</v>
      </c>
      <c r="D50" s="316"/>
      <c r="E50" s="316"/>
      <c r="F50" s="316"/>
      <c r="G50" s="316"/>
      <c r="H50" s="316"/>
      <c r="I50" s="316"/>
      <c r="J50" s="316"/>
      <c r="K50" s="316"/>
      <c r="S50" s="33" t="s">
        <v>199</v>
      </c>
      <c r="T50" s="1">
        <v>395</v>
      </c>
      <c r="U50" s="1">
        <v>0</v>
      </c>
      <c r="V50" s="1">
        <v>0</v>
      </c>
      <c r="W50" s="1">
        <v>0</v>
      </c>
      <c r="X50" s="1">
        <v>0</v>
      </c>
      <c r="Y50" s="1">
        <v>0</v>
      </c>
      <c r="Z50" s="1">
        <v>0</v>
      </c>
      <c r="AA50" s="5">
        <f>SUM(T50:Z50)</f>
        <v>395</v>
      </c>
      <c r="AB50" s="56"/>
      <c r="AC50" s="31"/>
      <c r="AD50" s="31" t="s">
        <v>199</v>
      </c>
      <c r="AE50" s="44">
        <f>AE10/AE14</f>
        <v>0.68421052631578949</v>
      </c>
      <c r="AF50" s="44">
        <f t="shared" ref="AF50:AH50" si="44">AF10/AF14</f>
        <v>1</v>
      </c>
      <c r="AG50" s="44">
        <f t="shared" si="44"/>
        <v>0.72727272727272729</v>
      </c>
      <c r="AH50" s="44">
        <f t="shared" si="44"/>
        <v>1</v>
      </c>
      <c r="AJ50" s="44">
        <f>AI10/AI14</f>
        <v>0.74137931034482762</v>
      </c>
      <c r="AK50" s="44">
        <f>AJ10/AJ14</f>
        <v>0.74675324675324672</v>
      </c>
      <c r="AL50" s="31"/>
      <c r="AM50" s="31"/>
      <c r="AN50" s="31"/>
      <c r="AO50" s="31"/>
    </row>
    <row r="51" spans="3:48" ht="14.25" customHeight="1">
      <c r="C51" s="316"/>
      <c r="D51" s="316"/>
      <c r="E51" s="316"/>
      <c r="F51" s="316"/>
      <c r="G51" s="316"/>
      <c r="H51" s="316"/>
      <c r="I51" s="316"/>
      <c r="J51" s="316"/>
      <c r="K51" s="316"/>
      <c r="S51" s="33" t="s">
        <v>192</v>
      </c>
      <c r="T51" s="1">
        <v>125</v>
      </c>
      <c r="U51" s="1">
        <v>0</v>
      </c>
      <c r="V51" s="1">
        <v>0</v>
      </c>
      <c r="W51" s="1">
        <v>0</v>
      </c>
      <c r="X51" s="1">
        <v>0</v>
      </c>
      <c r="Y51" s="1">
        <v>0</v>
      </c>
      <c r="Z51" s="1">
        <v>0</v>
      </c>
      <c r="AA51" s="5">
        <f t="shared" ref="AA51:AA54" si="45">SUM(T51:Z51)</f>
        <v>125</v>
      </c>
      <c r="AB51" s="56"/>
      <c r="AD51" s="31" t="s">
        <v>192</v>
      </c>
      <c r="AE51" s="44">
        <f>AE11/AE14</f>
        <v>0.31578947368421051</v>
      </c>
      <c r="AF51" s="44">
        <f t="shared" ref="AF51:AH51" si="46">AF11/AF14</f>
        <v>0</v>
      </c>
      <c r="AG51" s="44">
        <f t="shared" si="46"/>
        <v>0</v>
      </c>
      <c r="AH51" s="44">
        <f t="shared" si="46"/>
        <v>0</v>
      </c>
      <c r="AJ51" s="44">
        <f>AI11/AI14</f>
        <v>0.10344827586206896</v>
      </c>
      <c r="AK51" s="44">
        <f>AJ11/AJ14</f>
        <v>0.11688311688311688</v>
      </c>
      <c r="AL51" s="31"/>
      <c r="AM51" s="31"/>
      <c r="AN51" s="31"/>
      <c r="AO51" s="31"/>
    </row>
    <row r="52" spans="3:48">
      <c r="S52" s="33" t="s">
        <v>191</v>
      </c>
      <c r="T52" s="1">
        <v>185</v>
      </c>
      <c r="U52" s="1">
        <v>0</v>
      </c>
      <c r="V52" s="1">
        <v>0</v>
      </c>
      <c r="W52" s="1">
        <v>0</v>
      </c>
      <c r="X52" s="1">
        <v>0</v>
      </c>
      <c r="Y52" s="1">
        <v>0</v>
      </c>
      <c r="Z52" s="1">
        <v>45</v>
      </c>
      <c r="AA52" s="5">
        <f t="shared" si="45"/>
        <v>230</v>
      </c>
      <c r="AD52" s="31" t="s">
        <v>191</v>
      </c>
      <c r="AE52" s="44">
        <f>AE12/AE14</f>
        <v>0</v>
      </c>
      <c r="AF52" s="44">
        <f t="shared" ref="AF52:AH52" si="47">AF12/AF14</f>
        <v>0</v>
      </c>
      <c r="AG52" s="44">
        <f t="shared" si="47"/>
        <v>0.27272727272727271</v>
      </c>
      <c r="AH52" s="44">
        <f t="shared" si="47"/>
        <v>0</v>
      </c>
      <c r="AJ52" s="44">
        <f>AI12/AI14</f>
        <v>0.15517241379310345</v>
      </c>
      <c r="AK52" s="44">
        <f>AJ12/AJ14</f>
        <v>0.13636363636363635</v>
      </c>
      <c r="AL52" s="31"/>
      <c r="AM52" s="31"/>
      <c r="AN52" s="31"/>
      <c r="AO52" s="31"/>
    </row>
    <row r="53" spans="3:48" ht="18" customHeight="1">
      <c r="C53" s="304" t="str">
        <f>"Chart 4a. "&amp;City_label&amp;" total housing cost burden by racial and ethnic group, 2019"</f>
        <v>Chart 4a. North Bend total housing cost burden by racial and ethnic group, 2019</v>
      </c>
      <c r="D53" s="304"/>
      <c r="E53" s="304"/>
      <c r="F53" s="304"/>
      <c r="G53" s="304"/>
      <c r="H53" s="304"/>
      <c r="I53" s="304"/>
      <c r="J53" s="304"/>
      <c r="K53" s="304"/>
      <c r="L53" s="304"/>
      <c r="M53" s="304"/>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4"/>
      <c r="D54" s="304"/>
      <c r="E54" s="304"/>
      <c r="F54" s="304"/>
      <c r="G54" s="304"/>
      <c r="H54" s="304"/>
      <c r="I54" s="304"/>
      <c r="J54" s="304"/>
      <c r="K54" s="304"/>
      <c r="L54" s="304"/>
      <c r="M54" s="304"/>
      <c r="S54" s="33" t="s">
        <v>190</v>
      </c>
      <c r="T54" s="1">
        <v>705</v>
      </c>
      <c r="U54" s="1">
        <v>0</v>
      </c>
      <c r="V54" s="1">
        <v>0</v>
      </c>
      <c r="W54" s="1">
        <v>0</v>
      </c>
      <c r="X54" s="1">
        <v>0</v>
      </c>
      <c r="Y54" s="1">
        <v>0</v>
      </c>
      <c r="Z54" s="1">
        <v>45</v>
      </c>
      <c r="AA54" s="37">
        <f t="shared" si="45"/>
        <v>750</v>
      </c>
      <c r="AD54" s="59" t="s">
        <v>11</v>
      </c>
      <c r="AE54" s="31" t="str">
        <f>"Total Cost Burdened: "&amp;TEXT(AE47,"0%")</f>
        <v>Total Cost Burdened: 32%</v>
      </c>
      <c r="AF54" s="31" t="str">
        <f>"Total Cost Burdened: "&amp;TEXT(AF47,"0%")</f>
        <v>Total Cost Burdened: 0%</v>
      </c>
      <c r="AG54" s="31" t="str">
        <f>"Total Cost Burdened: "&amp;TEXT(AG47,"0%")</f>
        <v>Total Cost Burdened: 27%</v>
      </c>
      <c r="AH54" s="31" t="str">
        <f>"Total Cost Burdened: "&amp;TEXT(AH47,"0%")</f>
        <v>Total Cost Burdened: 0%</v>
      </c>
      <c r="AJ54" s="31" t="str">
        <f>"Total Cost Burdened: "&amp;TEXT(AJ47,"0%")</f>
        <v>Total Cost Burdened: 26%</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310</v>
      </c>
      <c r="U56" s="57">
        <f t="shared" si="48"/>
        <v>0</v>
      </c>
      <c r="V56" s="57">
        <f t="shared" si="48"/>
        <v>0</v>
      </c>
      <c r="W56" s="57">
        <f t="shared" si="48"/>
        <v>0</v>
      </c>
      <c r="X56" s="57">
        <f t="shared" si="48"/>
        <v>0</v>
      </c>
      <c r="Y56" s="57">
        <f t="shared" si="48"/>
        <v>0</v>
      </c>
      <c r="Z56" s="57">
        <f t="shared" si="48"/>
        <v>45</v>
      </c>
      <c r="AD56" s="31" t="s">
        <v>202</v>
      </c>
      <c r="AE56" s="268">
        <f>IFERROR(IF(SUM(AE60:AE61)&gt;0, SUM(AE60:AE61), "0%"), "0%")</f>
        <v>0.31578947368421051</v>
      </c>
      <c r="AF56" s="268" t="str">
        <f t="shared" ref="AF56:AH56" si="49">IFERROR(IF(SUM(AF60:AF61)&gt;0, SUM(AF60:AF61), "0%"), "0%")</f>
        <v>0%</v>
      </c>
      <c r="AG56" s="268" t="str">
        <f t="shared" si="49"/>
        <v>0%</v>
      </c>
      <c r="AH56" s="268" t="str">
        <f t="shared" si="49"/>
        <v>0%</v>
      </c>
      <c r="AI56" s="44"/>
      <c r="AJ56" s="44">
        <f t="shared" ref="AJ56:AK56" si="50">IFERROR(IF(SUM(AJ60:AJ61)&gt;0, SUM(AJ60:AJ61), "0"), "0")</f>
        <v>0.12244897959183673</v>
      </c>
      <c r="AK56" s="44">
        <f t="shared" si="50"/>
        <v>0.17133956386292834</v>
      </c>
      <c r="AL56" s="31"/>
      <c r="AM56" s="31"/>
      <c r="AN56" s="31"/>
      <c r="AO56" s="31"/>
    </row>
    <row r="57" spans="3:48" ht="14.25" customHeight="1">
      <c r="AD57" s="31" t="s">
        <v>281</v>
      </c>
      <c r="AE57" s="44">
        <f>1-AE56</f>
        <v>0.68421052631578949</v>
      </c>
      <c r="AF57" s="44">
        <f>1-AF56</f>
        <v>1</v>
      </c>
      <c r="AG57" s="44">
        <f>1-AG56</f>
        <v>1</v>
      </c>
      <c r="AH57" s="44">
        <f>1-AH56</f>
        <v>1</v>
      </c>
      <c r="AJ57" s="44">
        <f>1-AJ56</f>
        <v>0.87755102040816324</v>
      </c>
      <c r="AK57" s="44">
        <f>1-AK56</f>
        <v>0.82866043613707163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0.68421052631578949</v>
      </c>
      <c r="AF59" s="44">
        <f t="shared" ref="AF59:AH59" si="52">AF22/AF26</f>
        <v>1</v>
      </c>
      <c r="AG59" s="44">
        <f t="shared" si="52"/>
        <v>1</v>
      </c>
      <c r="AH59" s="44">
        <f t="shared" si="52"/>
        <v>1</v>
      </c>
      <c r="AJ59" s="44">
        <f>AI22/AI26</f>
        <v>0.87755102040816324</v>
      </c>
      <c r="AK59" s="44">
        <f>AJ22/AJ26</f>
        <v>0.82866043613707163</v>
      </c>
      <c r="AL59" s="31"/>
      <c r="AM59" s="31"/>
      <c r="AN59" s="31"/>
      <c r="AO59" s="31"/>
      <c r="AQ59" s="31"/>
      <c r="AR59" s="31"/>
      <c r="AS59" s="31"/>
      <c r="AT59" s="31"/>
      <c r="AU59" s="31"/>
      <c r="AV59" s="31"/>
    </row>
    <row r="60" spans="3:48">
      <c r="AD60" s="31" t="s">
        <v>192</v>
      </c>
      <c r="AE60" s="44">
        <f>AE23/AE26</f>
        <v>0.31578947368421051</v>
      </c>
      <c r="AF60" s="44">
        <f t="shared" ref="AF60:AH60" si="53">AF23/AF26</f>
        <v>0</v>
      </c>
      <c r="AG60" s="44">
        <f t="shared" si="53"/>
        <v>0</v>
      </c>
      <c r="AH60" s="44">
        <f t="shared" si="53"/>
        <v>0</v>
      </c>
      <c r="AJ60" s="44">
        <f>AI23/AI26</f>
        <v>0.12244897959183673</v>
      </c>
      <c r="AK60" s="44">
        <f>AJ23/AJ26</f>
        <v>9.0342679127725853E-2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v>
      </c>
      <c r="AJ61" s="44">
        <f>AI24/AI26</f>
        <v>0</v>
      </c>
      <c r="AK61" s="44">
        <f>AJ24/AJ26</f>
        <v>8.0996884735202487E-2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32%</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12%</v>
      </c>
      <c r="AK63" s="31" t="str">
        <f>"Total Cost Burdened: "&amp;TEXT(AK56,"0%")</f>
        <v>Total Cost Burdened: 17%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f t="shared" si="56"/>
        <v>0.43971631205673756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v>
      </c>
      <c r="AH66" s="44">
        <f>1-AH65</f>
        <v>1</v>
      </c>
      <c r="AJ66" s="44">
        <f>1-AJ65</f>
        <v>0</v>
      </c>
      <c r="AK66" s="44">
        <f>1-AK65</f>
        <v>0.56028368794326244</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f t="shared" si="58"/>
        <v>0</v>
      </c>
      <c r="AH68" s="44" t="e">
        <f t="shared" si="58"/>
        <v>#DIV/0!</v>
      </c>
      <c r="AJ68" s="44">
        <f>AI33/AI37</f>
        <v>0</v>
      </c>
      <c r="AK68" s="44">
        <f>AJ33/AJ37</f>
        <v>0.56028368794326244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f t="shared" si="59"/>
        <v>0</v>
      </c>
      <c r="AH69" s="44" t="e">
        <f t="shared" si="59"/>
        <v>#DIV/0!</v>
      </c>
      <c r="AJ69" s="44">
        <f>AI34/AI37</f>
        <v>0</v>
      </c>
      <c r="AK69" s="44">
        <f>AJ34/AJ37</f>
        <v>0.1773049645390071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f t="shared" si="60"/>
        <v>1</v>
      </c>
      <c r="AH70" s="44" t="e">
        <f t="shared" si="60"/>
        <v>#DIV/0!</v>
      </c>
      <c r="AJ70" s="44">
        <f>AI35/AI37</f>
        <v>1</v>
      </c>
      <c r="AK70" s="44">
        <f>AJ35/AJ37</f>
        <v>0.26241134751773049</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16" t="s">
        <v>228</v>
      </c>
      <c r="D73" s="316"/>
      <c r="E73" s="316"/>
      <c r="F73" s="316"/>
      <c r="G73" s="316"/>
      <c r="H73" s="316"/>
      <c r="I73" s="316"/>
      <c r="J73" s="316"/>
      <c r="K73" s="316"/>
      <c r="AD73" s="31"/>
      <c r="AE73" s="31"/>
      <c r="AF73" s="31"/>
      <c r="AG73" s="31"/>
      <c r="AH73" s="31"/>
      <c r="AI73" s="31"/>
      <c r="AJ73" s="31"/>
      <c r="AK73" s="31"/>
      <c r="AO73" s="31"/>
    </row>
    <row r="74" spans="3:48">
      <c r="C74" s="316"/>
      <c r="D74" s="316"/>
      <c r="E74" s="316"/>
      <c r="F74" s="316"/>
      <c r="G74" s="316"/>
      <c r="H74" s="316"/>
      <c r="I74" s="316"/>
      <c r="J74" s="316"/>
      <c r="K74" s="316"/>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4" t="str">
        <f>"Chart 5. "&amp;City_label&amp;" number of owner households by race and cost burden, 2019"</f>
        <v>Chart 5. North Bend number of owner households by race and cost burden, 2019</v>
      </c>
      <c r="D76" s="304"/>
      <c r="E76" s="304"/>
      <c r="F76" s="304"/>
      <c r="G76" s="304"/>
      <c r="H76" s="304"/>
      <c r="I76" s="304"/>
      <c r="J76" s="304"/>
      <c r="K76" s="304"/>
      <c r="L76" s="304"/>
      <c r="M76" s="304"/>
      <c r="S76" s="33" t="s">
        <v>199</v>
      </c>
      <c r="T76" s="1">
        <v>17</v>
      </c>
      <c r="U76" s="1">
        <v>54</v>
      </c>
      <c r="V76" s="1">
        <v>23</v>
      </c>
      <c r="W76" s="1">
        <v>102</v>
      </c>
      <c r="X76" s="1">
        <v>29</v>
      </c>
      <c r="Y76" s="1">
        <v>17</v>
      </c>
      <c r="Z76" s="1">
        <v>196</v>
      </c>
    </row>
    <row r="77" spans="3:48">
      <c r="C77" s="304"/>
      <c r="D77" s="304"/>
      <c r="E77" s="304"/>
      <c r="F77" s="304"/>
      <c r="G77" s="304"/>
      <c r="H77" s="304"/>
      <c r="I77" s="304"/>
      <c r="J77" s="304"/>
      <c r="K77" s="304"/>
      <c r="L77" s="304"/>
      <c r="M77" s="304"/>
      <c r="S77" s="33" t="s">
        <v>192</v>
      </c>
      <c r="T77" s="1">
        <v>17</v>
      </c>
      <c r="U77" s="1">
        <v>35</v>
      </c>
      <c r="V77" s="1">
        <v>17</v>
      </c>
      <c r="W77" s="1">
        <v>17</v>
      </c>
      <c r="X77" s="1">
        <v>17</v>
      </c>
      <c r="Y77" s="1">
        <v>17</v>
      </c>
      <c r="Z77" s="1">
        <v>74</v>
      </c>
    </row>
    <row r="78" spans="3:48">
      <c r="S78" s="33" t="s">
        <v>191</v>
      </c>
      <c r="T78" s="1">
        <v>17</v>
      </c>
      <c r="U78" s="1">
        <v>17</v>
      </c>
      <c r="V78" s="1">
        <v>17</v>
      </c>
      <c r="W78" s="1">
        <v>17</v>
      </c>
      <c r="X78" s="1">
        <v>17</v>
      </c>
      <c r="Y78" s="1">
        <v>17</v>
      </c>
      <c r="Z78" s="1">
        <v>73</v>
      </c>
    </row>
    <row r="79" spans="3:48">
      <c r="S79" s="33" t="s">
        <v>194</v>
      </c>
      <c r="T79" s="1">
        <v>17</v>
      </c>
      <c r="U79" s="1">
        <v>17</v>
      </c>
      <c r="V79" s="1">
        <v>17</v>
      </c>
      <c r="W79" s="1">
        <v>17</v>
      </c>
      <c r="X79" s="1">
        <v>17</v>
      </c>
      <c r="Y79" s="1">
        <v>17</v>
      </c>
      <c r="Z79" s="1">
        <v>17</v>
      </c>
    </row>
    <row r="80" spans="3:48" ht="15">
      <c r="S80" s="33" t="s">
        <v>150</v>
      </c>
      <c r="T80" s="37">
        <f t="shared" ref="T80:Z80" si="61">SUM(T76:T79)</f>
        <v>68</v>
      </c>
      <c r="U80" s="37">
        <f t="shared" si="61"/>
        <v>123</v>
      </c>
      <c r="V80" s="37">
        <f t="shared" si="61"/>
        <v>74</v>
      </c>
      <c r="W80" s="37">
        <f t="shared" si="61"/>
        <v>153</v>
      </c>
      <c r="X80" s="37">
        <f t="shared" si="61"/>
        <v>80</v>
      </c>
      <c r="Y80" s="37">
        <f t="shared" si="61"/>
        <v>68</v>
      </c>
      <c r="Z80" s="37">
        <f t="shared" si="61"/>
        <v>360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0.50502688800561146</v>
      </c>
      <c r="V83" s="6">
        <f>IFERROR((((V76/1.645)/U30)),0)</f>
        <v>0.93211752786220869</v>
      </c>
      <c r="W83" s="6">
        <f>IFERROR((((W76/1.645)/Z30)),0)</f>
        <v>0.51671732522796354</v>
      </c>
      <c r="X83" s="6">
        <f>IFERROR((((X76/1.645)/Y30)),0)</f>
        <v>1.1752786220871327</v>
      </c>
      <c r="Y83" s="6">
        <f>IFERROR((((Y76/1.645)/X30)),0)</f>
        <v>0</v>
      </c>
      <c r="Z83" s="6">
        <f>IFERROR((((Z76/1.645)/T30)),0)</f>
        <v>8.9585666293393054E-2</v>
      </c>
    </row>
    <row r="84" spans="19:26">
      <c r="S84" s="33" t="s">
        <v>192</v>
      </c>
      <c r="T84" s="6">
        <f>IFERROR((((T77/1.645)/W31)),0)</f>
        <v>0</v>
      </c>
      <c r="U84" s="6">
        <f>IFERROR((((U77/1.645)/V31)),0)</f>
        <v>0.70921985815602839</v>
      </c>
      <c r="V84" s="6">
        <f>IFERROR((((V77/1.645)/U31)),0)</f>
        <v>0</v>
      </c>
      <c r="W84" s="6">
        <f>IFERROR((((W77/1.645)/Z31)),0)</f>
        <v>0</v>
      </c>
      <c r="X84" s="6">
        <f>IFERROR((((X77/1.645)/Y31)),0)</f>
        <v>0</v>
      </c>
      <c r="Y84" s="6">
        <f>IFERROR((((Y77/1.645)/X31)),0)</f>
        <v>0</v>
      </c>
      <c r="Z84" s="6">
        <f>IFERROR((((Z77/1.645)/T31)),0)</f>
        <v>0.31024001676973068</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0.3413607668926818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3" t="s">
        <v>228</v>
      </c>
      <c r="D97" s="303"/>
      <c r="E97" s="303"/>
      <c r="F97" s="303"/>
      <c r="G97" s="303"/>
      <c r="H97" s="303"/>
      <c r="I97" s="303"/>
      <c r="J97" s="303"/>
      <c r="K97" s="303"/>
    </row>
    <row r="98" spans="3:37" ht="18" customHeight="1">
      <c r="C98" s="303"/>
      <c r="D98" s="303"/>
      <c r="E98" s="303"/>
      <c r="F98" s="303"/>
      <c r="G98" s="303"/>
      <c r="H98" s="303"/>
      <c r="I98" s="303"/>
      <c r="J98" s="303"/>
      <c r="K98" s="303"/>
    </row>
    <row r="99" spans="3:37" ht="15">
      <c r="S99" s="5"/>
      <c r="T99" s="34" t="s">
        <v>187</v>
      </c>
      <c r="U99" s="34" t="s">
        <v>146</v>
      </c>
      <c r="V99" s="34" t="s">
        <v>140</v>
      </c>
      <c r="W99" s="34" t="s">
        <v>158</v>
      </c>
      <c r="X99" s="34" t="s">
        <v>152</v>
      </c>
      <c r="Y99" s="34" t="s">
        <v>188</v>
      </c>
      <c r="Z99" s="34" t="s">
        <v>137</v>
      </c>
    </row>
    <row r="100" spans="3:37" ht="19.5" customHeight="1">
      <c r="C100" s="304" t="str">
        <f>"Chart 5a. "&amp;City_label&amp;" number of owner households by race and cost burden, 2019"</f>
        <v>Chart 5a. North Bend number of owner households by race and cost burden, 2019</v>
      </c>
      <c r="D100" s="304"/>
      <c r="E100" s="304"/>
      <c r="F100" s="304"/>
      <c r="G100" s="304"/>
      <c r="H100" s="304"/>
      <c r="I100" s="304"/>
      <c r="J100" s="304"/>
      <c r="K100" s="304"/>
      <c r="L100" s="304"/>
      <c r="M100" s="304"/>
      <c r="S100" s="33" t="s">
        <v>199</v>
      </c>
      <c r="T100" s="1">
        <v>17</v>
      </c>
      <c r="U100" s="1">
        <v>17</v>
      </c>
      <c r="V100" s="1">
        <v>17</v>
      </c>
      <c r="W100" s="1">
        <v>17</v>
      </c>
      <c r="X100" s="1">
        <v>17</v>
      </c>
      <c r="Y100" s="1">
        <v>17</v>
      </c>
      <c r="Z100" s="1">
        <v>154</v>
      </c>
    </row>
    <row r="101" spans="3:37" ht="19.5" customHeight="1">
      <c r="C101" s="304"/>
      <c r="D101" s="304"/>
      <c r="E101" s="304"/>
      <c r="F101" s="304"/>
      <c r="G101" s="304"/>
      <c r="H101" s="304"/>
      <c r="I101" s="304"/>
      <c r="J101" s="304"/>
      <c r="K101" s="304"/>
      <c r="L101" s="304"/>
      <c r="M101" s="304"/>
      <c r="S101" s="33" t="s">
        <v>192</v>
      </c>
      <c r="T101" s="1">
        <v>17</v>
      </c>
      <c r="U101" s="1">
        <v>17</v>
      </c>
      <c r="V101" s="1">
        <v>17</v>
      </c>
      <c r="W101" s="1">
        <v>17</v>
      </c>
      <c r="X101" s="1">
        <v>17</v>
      </c>
      <c r="Y101" s="1">
        <v>17</v>
      </c>
      <c r="Z101" s="1">
        <v>78</v>
      </c>
    </row>
    <row r="102" spans="3:37">
      <c r="S102" s="33" t="s">
        <v>191</v>
      </c>
      <c r="T102" s="1">
        <v>17</v>
      </c>
      <c r="U102" s="1">
        <v>17</v>
      </c>
      <c r="V102" s="1">
        <v>17</v>
      </c>
      <c r="W102" s="1">
        <v>66</v>
      </c>
      <c r="X102" s="1">
        <v>17</v>
      </c>
      <c r="Y102" s="1">
        <v>17</v>
      </c>
      <c r="Z102" s="1">
        <v>121</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68</v>
      </c>
      <c r="V104" s="37">
        <f t="shared" si="62"/>
        <v>68</v>
      </c>
      <c r="W104" s="37">
        <f t="shared" si="62"/>
        <v>117</v>
      </c>
      <c r="X104" s="37">
        <f t="shared" si="62"/>
        <v>68</v>
      </c>
      <c r="Y104" s="37">
        <f t="shared" si="62"/>
        <v>68</v>
      </c>
      <c r="Z104" s="37">
        <f t="shared" si="62"/>
        <v>370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0.23700511715593861</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0.37933130699088147</v>
      </c>
    </row>
    <row r="109" spans="3:37">
      <c r="S109" s="33" t="s">
        <v>191</v>
      </c>
      <c r="T109" s="6">
        <f>IFERROR((((T102/1.645)/W52)),0)</f>
        <v>0</v>
      </c>
      <c r="U109" s="6">
        <f>IFERROR((((U102/1.645)/V52)),0)</f>
        <v>0</v>
      </c>
      <c r="V109" s="6">
        <f>IFERROR((((V102/1.645)/U52)),0)</f>
        <v>0</v>
      </c>
      <c r="W109" s="6">
        <f>IFERROR((((W102/1.645)/Z52)),0)</f>
        <v>0.89159067882472132</v>
      </c>
      <c r="X109" s="6">
        <f>IFERROR((((X102/1.645)/Y52)),0)</f>
        <v>0</v>
      </c>
      <c r="Y109" s="6">
        <f>IFERROR((((Y102/1.645)/X52)),0)</f>
        <v>0</v>
      </c>
      <c r="Z109" s="6">
        <f>IFERROR((((Z102/1.645)/T52)),0)</f>
        <v>0.39760124866507845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303" t="s">
        <v>228</v>
      </c>
      <c r="D121" s="303"/>
      <c r="E121" s="303"/>
      <c r="F121" s="303"/>
      <c r="G121" s="303"/>
      <c r="H121" s="303"/>
      <c r="I121" s="303"/>
      <c r="J121" s="303"/>
      <c r="K121" s="303"/>
    </row>
    <row r="122" spans="3:11">
      <c r="C122" s="303"/>
      <c r="D122" s="303"/>
      <c r="E122" s="303"/>
      <c r="F122" s="303"/>
      <c r="G122" s="303"/>
      <c r="H122" s="303"/>
      <c r="I122" s="303"/>
      <c r="J122" s="303"/>
      <c r="K122" s="303"/>
    </row>
    <row r="124" spans="3:11" ht="18">
      <c r="C124" s="51" t="str">
        <f>"Chart 6. "&amp;City_label&amp;" renter households by race and cost burden, 2019"</f>
        <v>Chart 6. North Bend renter households by race and cost burden, 2019</v>
      </c>
    </row>
    <row r="144" spans="3:11">
      <c r="C144" s="303" t="s">
        <v>228</v>
      </c>
      <c r="D144" s="303"/>
      <c r="E144" s="303"/>
      <c r="F144" s="303"/>
      <c r="G144" s="303"/>
      <c r="H144" s="303"/>
      <c r="I144" s="303"/>
      <c r="J144" s="303"/>
      <c r="K144" s="303"/>
    </row>
    <row r="145" spans="3:11">
      <c r="C145" s="303"/>
      <c r="D145" s="303"/>
      <c r="E145" s="303"/>
      <c r="F145" s="303"/>
      <c r="G145" s="303"/>
      <c r="H145" s="303"/>
      <c r="I145" s="303"/>
      <c r="J145" s="303"/>
      <c r="K145" s="303"/>
    </row>
    <row r="148" spans="3:11" ht="18">
      <c r="C148" s="51" t="str">
        <f>"Chart 6a. "&amp;City_label&amp;" renter households by race and cost burden, 2019"</f>
        <v>Chart 6a. North Bend renter households by race and cost burden, 2019</v>
      </c>
    </row>
    <row r="168" spans="3:19" ht="15">
      <c r="S168" s="39"/>
    </row>
    <row r="169" spans="3:19">
      <c r="C169" s="303" t="s">
        <v>228</v>
      </c>
      <c r="D169" s="303"/>
      <c r="E169" s="303"/>
      <c r="F169" s="303"/>
      <c r="G169" s="303"/>
      <c r="H169" s="303"/>
      <c r="I169" s="303"/>
      <c r="J169" s="303"/>
      <c r="K169" s="303"/>
    </row>
    <row r="170" spans="3:19">
      <c r="C170" s="303"/>
      <c r="D170" s="303"/>
      <c r="E170" s="303"/>
      <c r="F170" s="303"/>
      <c r="G170" s="303"/>
      <c r="H170" s="303"/>
      <c r="I170" s="303"/>
      <c r="J170" s="303"/>
      <c r="K170" s="303"/>
    </row>
    <row r="171" spans="3:19" ht="19.5" customHeight="1"/>
    <row r="172" spans="3:19" ht="19.5" customHeight="1"/>
    <row r="173" spans="3:19" ht="21.75" customHeight="1">
      <c r="C173" s="304" t="str">
        <f>"Table 4. "&amp;City_label&amp;" percentage of households by housing cost burden, 2019"</f>
        <v>Table 4. North Bend percentage of households by housing cost burden, 2019</v>
      </c>
      <c r="D173" s="304"/>
      <c r="E173" s="304"/>
      <c r="F173" s="304"/>
      <c r="G173" s="304"/>
      <c r="H173" s="304"/>
      <c r="I173" s="304"/>
      <c r="J173" s="304"/>
      <c r="K173" s="304"/>
      <c r="L173" s="304"/>
    </row>
    <row r="174" spans="3:19" ht="21.75" customHeight="1">
      <c r="C174" s="304"/>
      <c r="D174" s="304"/>
      <c r="E174" s="304"/>
      <c r="F174" s="304"/>
      <c r="G174" s="304"/>
      <c r="H174" s="304"/>
      <c r="I174" s="304"/>
      <c r="J174" s="304"/>
      <c r="K174" s="304"/>
      <c r="L174" s="304"/>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0.74137931034482762</v>
      </c>
      <c r="G181" s="116">
        <f>AK50</f>
        <v>0.74675324675324672</v>
      </c>
      <c r="H181" s="269">
        <f>AE50</f>
        <v>0.68421052631578949</v>
      </c>
      <c r="I181" s="270">
        <f>AF50</f>
        <v>1</v>
      </c>
      <c r="J181" s="270">
        <f>AG50</f>
        <v>0.72727272727272729</v>
      </c>
      <c r="K181" s="270">
        <f>AH50</f>
        <v>1</v>
      </c>
    </row>
    <row r="182" spans="3:28" ht="18.75" customHeight="1">
      <c r="C182" s="29" t="s">
        <v>202</v>
      </c>
      <c r="D182" s="29"/>
      <c r="E182" s="29"/>
      <c r="F182" s="116">
        <f>AJ47</f>
        <v>0.25862068965517243</v>
      </c>
      <c r="G182" s="116">
        <f>AK47</f>
        <v>0.25324675324675322</v>
      </c>
      <c r="H182" s="269">
        <f>AE47</f>
        <v>0.31578947368421051</v>
      </c>
      <c r="I182" s="270" t="str">
        <f>AF47</f>
        <v>0</v>
      </c>
      <c r="J182" s="270">
        <f>AG47</f>
        <v>0.27272727272727271</v>
      </c>
      <c r="K182" s="270" t="str">
        <f>AH47</f>
        <v>0</v>
      </c>
    </row>
    <row r="183" spans="3:28" ht="18.75" customHeight="1">
      <c r="C183" s="121" t="s">
        <v>192</v>
      </c>
      <c r="D183" s="118"/>
      <c r="E183" s="118"/>
      <c r="F183" s="122">
        <f>AJ51</f>
        <v>0.10344827586206896</v>
      </c>
      <c r="G183" s="122">
        <f>AK51</f>
        <v>0.11688311688311688</v>
      </c>
      <c r="H183" s="271">
        <f t="shared" ref="H183:K184" si="63">AE51</f>
        <v>0.31578947368421051</v>
      </c>
      <c r="I183" s="272">
        <f t="shared" si="63"/>
        <v>0</v>
      </c>
      <c r="J183" s="272">
        <f t="shared" si="63"/>
        <v>0</v>
      </c>
      <c r="K183" s="272">
        <f t="shared" si="63"/>
        <v>0</v>
      </c>
    </row>
    <row r="184" spans="3:28">
      <c r="C184" s="121" t="s">
        <v>191</v>
      </c>
      <c r="D184" s="118"/>
      <c r="E184" s="118"/>
      <c r="F184" s="122">
        <f>AJ52</f>
        <v>0.15517241379310345</v>
      </c>
      <c r="G184" s="122">
        <f>AK52</f>
        <v>0.13636363636363635</v>
      </c>
      <c r="H184" s="271">
        <f t="shared" si="63"/>
        <v>0</v>
      </c>
      <c r="I184" s="272">
        <f t="shared" si="63"/>
        <v>0</v>
      </c>
      <c r="J184" s="272">
        <f t="shared" si="63"/>
        <v>0.27272727272727271</v>
      </c>
      <c r="K184" s="272">
        <f t="shared" si="63"/>
        <v>0</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0.87755102040816324</v>
      </c>
      <c r="G187" s="116">
        <f>AK59</f>
        <v>0.82866043613707163</v>
      </c>
      <c r="H187" s="269">
        <f>AE59</f>
        <v>0.68421052631578949</v>
      </c>
      <c r="I187" s="270">
        <f>AF59</f>
        <v>1</v>
      </c>
      <c r="J187" s="270">
        <f>AG59</f>
        <v>1</v>
      </c>
      <c r="K187" s="270">
        <f>AH59</f>
        <v>1</v>
      </c>
      <c r="AA187" s="99"/>
      <c r="AB187" s="99"/>
    </row>
    <row r="188" spans="3:28" ht="14.25" customHeight="1">
      <c r="C188" s="29" t="s">
        <v>202</v>
      </c>
      <c r="D188" s="29"/>
      <c r="E188" s="29"/>
      <c r="F188" s="116">
        <f>AJ56</f>
        <v>0.12244897959183673</v>
      </c>
      <c r="G188" s="116">
        <f>AK56</f>
        <v>0.17133956386292834</v>
      </c>
      <c r="H188" s="269">
        <f>AE56</f>
        <v>0.31578947368421051</v>
      </c>
      <c r="I188" s="270" t="str">
        <f>AF56</f>
        <v>0%</v>
      </c>
      <c r="J188" s="270" t="str">
        <f>AG56</f>
        <v>0%</v>
      </c>
      <c r="K188" s="270" t="str">
        <f>AH56</f>
        <v>0%</v>
      </c>
      <c r="AA188" s="99"/>
      <c r="AB188" s="99"/>
    </row>
    <row r="189" spans="3:28" ht="14.25" customHeight="1">
      <c r="C189" s="121" t="s">
        <v>192</v>
      </c>
      <c r="D189" s="118"/>
      <c r="E189" s="118"/>
      <c r="F189" s="122">
        <f>AJ60</f>
        <v>0.12244897959183673</v>
      </c>
      <c r="G189" s="122">
        <f>AK60</f>
        <v>9.0342679127725853E-2</v>
      </c>
      <c r="H189" s="271">
        <f t="shared" ref="H189:K190" si="64">AE60</f>
        <v>0.31578947368421051</v>
      </c>
      <c r="I189" s="272">
        <f t="shared" si="64"/>
        <v>0</v>
      </c>
      <c r="J189" s="272">
        <f t="shared" si="64"/>
        <v>0</v>
      </c>
      <c r="K189" s="272">
        <f t="shared" si="64"/>
        <v>0</v>
      </c>
      <c r="S189" s="99"/>
      <c r="T189" s="82"/>
    </row>
    <row r="190" spans="3:28" ht="14.25" customHeight="1">
      <c r="C190" s="121" t="s">
        <v>191</v>
      </c>
      <c r="D190" s="118"/>
      <c r="E190" s="118"/>
      <c r="F190" s="122">
        <f>AJ61</f>
        <v>0</v>
      </c>
      <c r="G190" s="122">
        <f>AK61</f>
        <v>8.0996884735202487E-2</v>
      </c>
      <c r="H190" s="271">
        <f t="shared" si="64"/>
        <v>0</v>
      </c>
      <c r="I190" s="272">
        <f t="shared" si="64"/>
        <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v>
      </c>
      <c r="G193" s="116">
        <f>AK68</f>
        <v>0.56028368794326244</v>
      </c>
      <c r="H193" s="269" t="e">
        <f>AE68</f>
        <v>#DIV/0!</v>
      </c>
      <c r="I193" s="270" t="e">
        <f>AF68</f>
        <v>#DIV/0!</v>
      </c>
      <c r="J193" s="270">
        <f>AG68</f>
        <v>0</v>
      </c>
      <c r="K193" s="270" t="e">
        <f>AH68</f>
        <v>#DIV/0!</v>
      </c>
      <c r="U193" s="99"/>
      <c r="V193" s="99"/>
      <c r="W193" s="99"/>
      <c r="X193" s="99"/>
      <c r="Y193" s="99"/>
      <c r="Z193" s="99"/>
    </row>
    <row r="194" spans="3:26" ht="14.25" customHeight="1">
      <c r="C194" s="29" t="s">
        <v>202</v>
      </c>
      <c r="D194" s="29"/>
      <c r="E194" s="29"/>
      <c r="F194" s="116">
        <f>AJ65</f>
        <v>1</v>
      </c>
      <c r="G194" s="116">
        <f>AK65</f>
        <v>0.43971631205673756</v>
      </c>
      <c r="H194" s="269" t="str">
        <f>AE65</f>
        <v>0%</v>
      </c>
      <c r="I194" s="270" t="str">
        <f>AF65</f>
        <v>0%</v>
      </c>
      <c r="J194" s="270">
        <f>AG65</f>
        <v>1</v>
      </c>
      <c r="K194" s="270" t="str">
        <f>AH65</f>
        <v>0%</v>
      </c>
    </row>
    <row r="195" spans="3:26" ht="14.25" customHeight="1">
      <c r="C195" s="121" t="s">
        <v>192</v>
      </c>
      <c r="D195" s="118"/>
      <c r="E195" s="118"/>
      <c r="F195" s="122">
        <f>AJ69</f>
        <v>0</v>
      </c>
      <c r="G195" s="122">
        <f>AK69</f>
        <v>0.1773049645390071</v>
      </c>
      <c r="H195" s="271" t="e">
        <f t="shared" ref="H195:K196" si="65">AE69</f>
        <v>#DIV/0!</v>
      </c>
      <c r="I195" s="272" t="e">
        <f t="shared" si="65"/>
        <v>#DIV/0!</v>
      </c>
      <c r="J195" s="272">
        <f t="shared" si="65"/>
        <v>0</v>
      </c>
      <c r="K195" s="272" t="e">
        <f t="shared" si="65"/>
        <v>#DIV/0!</v>
      </c>
    </row>
    <row r="196" spans="3:26">
      <c r="C196" s="121" t="s">
        <v>191</v>
      </c>
      <c r="D196" s="118"/>
      <c r="E196" s="118"/>
      <c r="F196" s="122">
        <f>AJ70</f>
        <v>1</v>
      </c>
      <c r="G196" s="122">
        <f>AK70</f>
        <v>0.26241134751773049</v>
      </c>
      <c r="H196" s="271" t="e">
        <f t="shared" si="65"/>
        <v>#DIV/0!</v>
      </c>
      <c r="I196" s="272" t="e">
        <f t="shared" si="65"/>
        <v>#DIV/0!</v>
      </c>
      <c r="J196" s="272">
        <f t="shared" si="65"/>
        <v>1</v>
      </c>
      <c r="K196" s="272" t="e">
        <f t="shared" si="65"/>
        <v>#DIV/0!</v>
      </c>
    </row>
    <row r="197" spans="3:26" ht="15" thickBot="1">
      <c r="C197" s="29" t="s">
        <v>194</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3" t="s">
        <v>228</v>
      </c>
      <c r="D199" s="303"/>
      <c r="E199" s="303"/>
      <c r="F199" s="303"/>
      <c r="G199" s="303"/>
      <c r="H199" s="303"/>
      <c r="I199" s="303"/>
      <c r="J199" s="303"/>
      <c r="K199" s="303"/>
    </row>
    <row r="200" spans="3:26" ht="14.25" customHeight="1">
      <c r="C200" s="303"/>
      <c r="D200" s="303"/>
      <c r="E200" s="303"/>
      <c r="F200" s="303"/>
      <c r="G200" s="303"/>
      <c r="H200" s="303"/>
      <c r="I200" s="303"/>
      <c r="J200" s="303"/>
      <c r="K200" s="303"/>
    </row>
    <row r="201" spans="3:26" ht="18" customHeight="1">
      <c r="D201" s="6"/>
      <c r="E201" s="6"/>
      <c r="F201" s="6"/>
      <c r="G201" s="6"/>
      <c r="H201" s="6"/>
      <c r="I201" s="6"/>
    </row>
    <row r="202" spans="3:26" ht="19.5" customHeight="1">
      <c r="C202" s="304" t="str">
        <f>"Chart 7. "&amp;City_label&amp;" percent of all households experiencing housing cost burden, 2019"</f>
        <v>Chart 7. North Bend percent of all households experiencing housing cost burden, 2019</v>
      </c>
      <c r="D202" s="304"/>
      <c r="E202" s="304"/>
      <c r="F202" s="304"/>
      <c r="G202" s="304"/>
      <c r="H202" s="304"/>
      <c r="I202" s="304"/>
      <c r="J202" s="304"/>
      <c r="K202" s="304"/>
      <c r="L202" s="304"/>
    </row>
    <row r="203" spans="3:26" ht="19.5" customHeight="1">
      <c r="C203" s="304"/>
      <c r="D203" s="304"/>
      <c r="E203" s="304"/>
      <c r="F203" s="304"/>
      <c r="G203" s="304"/>
      <c r="H203" s="304"/>
      <c r="I203" s="304"/>
      <c r="J203" s="304"/>
      <c r="K203" s="304"/>
      <c r="L203" s="304"/>
    </row>
    <row r="207" spans="3:26" ht="15">
      <c r="C207" s="39"/>
    </row>
    <row r="210" ht="12" customHeight="1"/>
    <row r="211" ht="18" customHeight="1"/>
    <row r="225" spans="3:13">
      <c r="C225" s="303" t="s">
        <v>228</v>
      </c>
      <c r="D225" s="303"/>
      <c r="E225" s="303"/>
      <c r="F225" s="303"/>
      <c r="G225" s="303"/>
      <c r="H225" s="303"/>
      <c r="I225" s="303"/>
      <c r="J225" s="303"/>
      <c r="K225" s="303"/>
      <c r="L225" s="303"/>
    </row>
    <row r="226" spans="3:13" ht="14.25" customHeight="1">
      <c r="C226" s="303"/>
      <c r="D226" s="303"/>
      <c r="E226" s="303"/>
      <c r="F226" s="303"/>
      <c r="G226" s="303"/>
      <c r="H226" s="303"/>
      <c r="I226" s="303"/>
      <c r="J226" s="303"/>
      <c r="K226" s="303"/>
      <c r="L226" s="303"/>
    </row>
    <row r="227" spans="3:13" ht="19.5" customHeight="1">
      <c r="C227" s="277"/>
      <c r="D227" s="277"/>
      <c r="E227" s="277"/>
      <c r="F227" s="277"/>
      <c r="G227" s="277"/>
      <c r="H227" s="277"/>
      <c r="I227" s="277"/>
      <c r="J227" s="277"/>
      <c r="K227" s="277"/>
    </row>
    <row r="228" spans="3:13" ht="18" customHeight="1">
      <c r="C228" s="304" t="str">
        <f>"Chart 7a. "&amp;City_label&amp;" percent of all households experiencing housing cost burden, 2019"</f>
        <v>Chart 7a. North Bend percent of all households experiencing housing cost burden, 2019</v>
      </c>
      <c r="D228" s="304"/>
      <c r="E228" s="304"/>
      <c r="F228" s="304"/>
      <c r="G228" s="304"/>
      <c r="H228" s="304"/>
      <c r="I228" s="304"/>
      <c r="J228" s="304"/>
      <c r="K228" s="304"/>
      <c r="L228" s="304"/>
      <c r="M228" s="304"/>
    </row>
    <row r="229" spans="3:13" ht="18" customHeight="1">
      <c r="C229" s="304"/>
      <c r="D229" s="304"/>
      <c r="E229" s="304"/>
      <c r="F229" s="304"/>
      <c r="G229" s="304"/>
      <c r="H229" s="304"/>
      <c r="I229" s="304"/>
      <c r="J229" s="304"/>
      <c r="K229" s="304"/>
      <c r="L229" s="304"/>
      <c r="M229" s="304"/>
    </row>
    <row r="233" spans="3:13" ht="15">
      <c r="C233" s="39"/>
    </row>
    <row r="237" spans="3:13" ht="16.5" customHeight="1"/>
    <row r="238" spans="3:13" ht="16.5" customHeight="1"/>
    <row r="243" spans="3:13">
      <c r="C243" s="303" t="s">
        <v>228</v>
      </c>
      <c r="D243" s="303"/>
      <c r="E243" s="303"/>
      <c r="F243" s="303"/>
      <c r="G243" s="303"/>
      <c r="H243" s="303"/>
      <c r="I243" s="303"/>
      <c r="J243" s="303"/>
      <c r="K243" s="303"/>
    </row>
    <row r="244" spans="3:13" ht="16.5" customHeight="1">
      <c r="C244" s="303"/>
      <c r="D244" s="303"/>
      <c r="E244" s="303"/>
      <c r="F244" s="303"/>
      <c r="G244" s="303"/>
      <c r="H244" s="303"/>
      <c r="I244" s="303"/>
      <c r="J244" s="303"/>
      <c r="K244" s="303"/>
    </row>
    <row r="245" spans="3:13" ht="16.5" customHeight="1"/>
    <row r="246" spans="3:13" ht="18.75" customHeight="1">
      <c r="C246" s="304" t="str">
        <f>"Chart 8. "&amp;City_label&amp;" percent owner households experiencing housing cost burden, 2019"</f>
        <v>Chart 8. North Bend percent owner households experiencing housing cost burden, 2019</v>
      </c>
      <c r="D246" s="304"/>
      <c r="E246" s="304"/>
      <c r="F246" s="304"/>
      <c r="G246" s="304"/>
      <c r="H246" s="304"/>
      <c r="I246" s="304"/>
      <c r="J246" s="304"/>
      <c r="K246" s="304"/>
      <c r="L246" s="304"/>
      <c r="M246" s="304"/>
    </row>
    <row r="247" spans="3:13" ht="18.75" customHeight="1">
      <c r="C247" s="304"/>
      <c r="D247" s="304"/>
      <c r="E247" s="304"/>
      <c r="F247" s="304"/>
      <c r="G247" s="304"/>
      <c r="H247" s="304"/>
      <c r="I247" s="304"/>
      <c r="J247" s="304"/>
      <c r="K247" s="304"/>
      <c r="L247" s="304"/>
      <c r="M247" s="304"/>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5" t="s">
        <v>228</v>
      </c>
      <c r="D269" s="305"/>
      <c r="E269" s="305"/>
      <c r="F269" s="305"/>
      <c r="G269" s="305"/>
      <c r="H269" s="305"/>
      <c r="I269" s="305"/>
      <c r="J269" s="305"/>
      <c r="K269" s="305"/>
      <c r="L269" s="305"/>
    </row>
    <row r="270" spans="3:13" ht="20.25" customHeight="1">
      <c r="C270" s="305"/>
      <c r="D270" s="305"/>
      <c r="E270" s="305"/>
      <c r="F270" s="305"/>
      <c r="G270" s="305"/>
      <c r="H270" s="305"/>
      <c r="I270" s="305"/>
      <c r="J270" s="305"/>
      <c r="K270" s="305"/>
      <c r="L270" s="305"/>
    </row>
    <row r="271" spans="3:13" ht="20.25" customHeight="1"/>
    <row r="272" spans="3:13" ht="18" customHeight="1">
      <c r="C272" s="304" t="str">
        <f>"Chart 8a. "&amp;City_label&amp;" percent owner households experiencing housing cost burden, 2019"</f>
        <v>Chart 8a. North Bend percent owner households experiencing housing cost burden, 2019</v>
      </c>
      <c r="D272" s="304"/>
      <c r="E272" s="304"/>
      <c r="F272" s="304"/>
      <c r="G272" s="304"/>
      <c r="H272" s="304"/>
      <c r="I272" s="304"/>
      <c r="J272" s="304"/>
      <c r="K272" s="304"/>
      <c r="L272" s="304"/>
      <c r="M272" s="304"/>
    </row>
    <row r="273" spans="3:13" ht="18" customHeight="1">
      <c r="C273" s="304"/>
      <c r="D273" s="304"/>
      <c r="E273" s="304"/>
      <c r="F273" s="304"/>
      <c r="G273" s="304"/>
      <c r="H273" s="304"/>
      <c r="I273" s="304"/>
      <c r="J273" s="304"/>
      <c r="K273" s="304"/>
      <c r="L273" s="304"/>
      <c r="M273" s="304"/>
    </row>
    <row r="274" spans="3:13" ht="18.75" customHeight="1"/>
    <row r="275" spans="3:13" ht="18.75" customHeight="1">
      <c r="C275" s="39"/>
    </row>
    <row r="283" spans="3:13" ht="19.5" customHeight="1"/>
    <row r="284" spans="3:13" ht="19.5" customHeight="1"/>
    <row r="288" spans="3:13">
      <c r="C288" s="305" t="s">
        <v>228</v>
      </c>
      <c r="D288" s="305"/>
      <c r="E288" s="305"/>
      <c r="F288" s="305"/>
      <c r="G288" s="305"/>
      <c r="H288" s="305"/>
      <c r="I288" s="305"/>
      <c r="J288" s="305"/>
      <c r="K288" s="305"/>
      <c r="L288" s="305"/>
    </row>
    <row r="289" spans="3:13" ht="19.5" customHeight="1">
      <c r="C289" s="305"/>
      <c r="D289" s="305"/>
      <c r="E289" s="305"/>
      <c r="F289" s="305"/>
      <c r="G289" s="305"/>
      <c r="H289" s="305"/>
      <c r="I289" s="305"/>
      <c r="J289" s="305"/>
      <c r="K289" s="305"/>
      <c r="L289" s="305"/>
    </row>
    <row r="290" spans="3:13" ht="19.5" customHeight="1">
      <c r="C290" s="99"/>
      <c r="D290" s="99"/>
      <c r="E290" s="99"/>
      <c r="F290" s="99"/>
      <c r="G290" s="99"/>
      <c r="H290" s="99"/>
      <c r="I290" s="99"/>
      <c r="J290" s="99"/>
      <c r="K290" s="99"/>
      <c r="L290" s="99"/>
    </row>
    <row r="291" spans="3:13" ht="19.5" customHeight="1">
      <c r="C291" s="304" t="str">
        <f>"Chart 9. "&amp;City_label&amp;" percent renter households experiencing housing cost burden, 2019"</f>
        <v>Chart 9. North Bend percent renter households experiencing housing cost burden, 2019</v>
      </c>
      <c r="D291" s="304"/>
      <c r="E291" s="304"/>
      <c r="F291" s="304"/>
      <c r="G291" s="304"/>
      <c r="H291" s="304"/>
      <c r="I291" s="304"/>
      <c r="J291" s="304"/>
      <c r="K291" s="304"/>
      <c r="L291" s="304"/>
      <c r="M291" s="304"/>
    </row>
    <row r="292" spans="3:13" ht="19.5" customHeight="1">
      <c r="C292" s="304"/>
      <c r="D292" s="304"/>
      <c r="E292" s="304"/>
      <c r="F292" s="304"/>
      <c r="G292" s="304"/>
      <c r="H292" s="304"/>
      <c r="I292" s="304"/>
      <c r="J292" s="304"/>
      <c r="K292" s="304"/>
      <c r="L292" s="304"/>
      <c r="M292" s="304"/>
    </row>
    <row r="293" spans="3:13" ht="16.5" customHeight="1">
      <c r="C293" s="39"/>
    </row>
    <row r="294" spans="3:13" ht="16.5" customHeight="1"/>
    <row r="302" spans="3:13" ht="18" customHeight="1"/>
    <row r="314" spans="3:13">
      <c r="C314" s="303" t="s">
        <v>228</v>
      </c>
      <c r="D314" s="303"/>
      <c r="E314" s="303"/>
      <c r="F314" s="303"/>
      <c r="G314" s="303"/>
      <c r="H314" s="303"/>
      <c r="I314" s="303"/>
      <c r="J314" s="303"/>
      <c r="K314" s="303"/>
    </row>
    <row r="315" spans="3:13" ht="21.75" customHeight="1">
      <c r="C315" s="303"/>
      <c r="D315" s="303"/>
      <c r="E315" s="303"/>
      <c r="F315" s="303"/>
      <c r="G315" s="303"/>
      <c r="H315" s="303"/>
      <c r="I315" s="303"/>
      <c r="J315" s="303"/>
      <c r="K315" s="303"/>
    </row>
    <row r="316" spans="3:13" ht="21.75" customHeight="1"/>
    <row r="317" spans="3:13" ht="18.75" customHeight="1">
      <c r="C317" s="304" t="str">
        <f>"Chart 9a. "&amp;City_label&amp;" percent renter households experiencing housing cost burden, 2019"</f>
        <v>Chart 9a. North Bend percent renter households experiencing housing cost burden, 2019</v>
      </c>
      <c r="D317" s="304"/>
      <c r="E317" s="304"/>
      <c r="F317" s="304"/>
      <c r="G317" s="304"/>
      <c r="H317" s="304"/>
      <c r="I317" s="304"/>
      <c r="J317" s="304"/>
      <c r="K317" s="304"/>
      <c r="L317" s="304"/>
      <c r="M317" s="304"/>
    </row>
    <row r="318" spans="3:13" ht="18.75" customHeight="1">
      <c r="C318" s="304"/>
      <c r="D318" s="304"/>
      <c r="E318" s="304"/>
      <c r="F318" s="304"/>
      <c r="G318" s="304"/>
      <c r="H318" s="304"/>
      <c r="I318" s="304"/>
      <c r="J318" s="304"/>
      <c r="K318" s="304"/>
      <c r="L318" s="304"/>
      <c r="M318" s="304"/>
    </row>
    <row r="319" spans="3:13" ht="18.75" customHeight="1">
      <c r="C319" s="39"/>
    </row>
    <row r="320" spans="3:13" ht="18.75" customHeight="1"/>
    <row r="328" spans="3:11" ht="18" customHeight="1"/>
    <row r="333" spans="3:11">
      <c r="C333" s="303" t="s">
        <v>228</v>
      </c>
      <c r="D333" s="303"/>
      <c r="E333" s="303"/>
      <c r="F333" s="303"/>
      <c r="G333" s="303"/>
      <c r="H333" s="303"/>
      <c r="I333" s="303"/>
      <c r="J333" s="303"/>
      <c r="K333" s="303"/>
    </row>
    <row r="334" spans="3:11">
      <c r="C334" s="303"/>
      <c r="D334" s="303"/>
      <c r="E334" s="303"/>
      <c r="F334" s="303"/>
      <c r="G334" s="303"/>
      <c r="H334" s="303"/>
      <c r="I334" s="303"/>
      <c r="J334" s="303"/>
      <c r="K334" s="303"/>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6" t="s">
        <v>341</v>
      </c>
      <c r="BR3" s="327"/>
    </row>
    <row r="4" spans="3:70" ht="15" thickTop="1">
      <c r="BP4" s="185"/>
      <c r="BQ4" s="328" t="s">
        <v>342</v>
      </c>
      <c r="BR4" s="329"/>
    </row>
    <row r="5" spans="3:70" ht="18" customHeight="1">
      <c r="C5" s="341" t="str">
        <f>"Table 5. "&amp;City_label&amp;" and "&amp;County_label&amp;" rental units by affordability and households by income, 2019"</f>
        <v>Table 5. North Bend and King County rental units by affordability and households by income, 2019</v>
      </c>
      <c r="D5" s="341"/>
      <c r="E5" s="341"/>
      <c r="F5" s="341"/>
      <c r="G5" s="341"/>
      <c r="H5" s="341"/>
      <c r="I5" s="341"/>
      <c r="J5" s="341"/>
      <c r="K5" s="341"/>
      <c r="L5" s="341"/>
      <c r="AA5" s="16" t="s">
        <v>127</v>
      </c>
      <c r="AB5" s="298" t="str">
        <f>City</f>
        <v>North Bend city, Washington</v>
      </c>
      <c r="AC5" s="298"/>
      <c r="BP5" s="201"/>
      <c r="BQ5" s="330"/>
      <c r="BR5" s="331"/>
    </row>
    <row r="6" spans="3:70" ht="18" customHeight="1">
      <c r="C6" s="341"/>
      <c r="D6" s="341"/>
      <c r="E6" s="341"/>
      <c r="F6" s="341"/>
      <c r="G6" s="341"/>
      <c r="H6" s="341"/>
      <c r="I6" s="341"/>
      <c r="J6" s="341"/>
      <c r="K6" s="341"/>
      <c r="L6" s="341"/>
      <c r="AA6" s="16" t="s">
        <v>128</v>
      </c>
      <c r="AB6" s="298" t="str">
        <f>County</f>
        <v>King County, Washington</v>
      </c>
      <c r="AC6" s="298"/>
      <c r="BB6" s="198"/>
      <c r="BE6" s="196"/>
      <c r="BH6" s="197"/>
      <c r="BK6" s="199"/>
      <c r="BP6" s="185"/>
      <c r="BQ6" s="186"/>
      <c r="BR6" s="187"/>
    </row>
    <row r="7" spans="3:70" ht="18" customHeight="1" thickBot="1">
      <c r="C7" s="51"/>
      <c r="AA7" s="16"/>
      <c r="BA7" s="325" t="s">
        <v>343</v>
      </c>
      <c r="BB7" s="325"/>
      <c r="BC7" s="325"/>
      <c r="BD7" s="325" t="s">
        <v>344</v>
      </c>
      <c r="BE7" s="325"/>
      <c r="BF7" s="325"/>
      <c r="BG7" s="325" t="s">
        <v>345</v>
      </c>
      <c r="BH7" s="325"/>
      <c r="BI7" s="325"/>
      <c r="BJ7" s="325" t="s">
        <v>346</v>
      </c>
      <c r="BK7" s="325"/>
      <c r="BL7" s="325"/>
    </row>
    <row r="8" spans="3:70" ht="19.5" customHeight="1">
      <c r="C8" s="217"/>
      <c r="D8" s="218"/>
      <c r="E8" s="218"/>
      <c r="F8" s="65" t="str">
        <f>City_label</f>
        <v>North Bend</v>
      </c>
      <c r="G8" s="219"/>
      <c r="H8" s="218"/>
      <c r="I8" s="65" t="str">
        <f>City_label</f>
        <v>North Bend</v>
      </c>
      <c r="J8" s="219"/>
      <c r="K8" s="65" t="str">
        <f>County_label</f>
        <v>King County</v>
      </c>
      <c r="L8" s="219"/>
      <c r="AA8" s="162" t="s">
        <v>347</v>
      </c>
      <c r="BA8" s="325"/>
      <c r="BB8" s="325"/>
      <c r="BC8" s="325"/>
      <c r="BD8" s="325"/>
      <c r="BE8" s="325"/>
      <c r="BF8" s="325"/>
      <c r="BG8" s="325"/>
      <c r="BH8" s="325"/>
      <c r="BI8" s="325"/>
      <c r="BJ8" s="325"/>
      <c r="BK8" s="325"/>
      <c r="BL8" s="325"/>
    </row>
    <row r="9" spans="3:70" ht="19.5" customHeight="1">
      <c r="C9" s="262"/>
      <c r="D9" s="29"/>
      <c r="E9" s="29"/>
      <c r="F9" s="339" t="s">
        <v>348</v>
      </c>
      <c r="G9" s="339" t="s">
        <v>349</v>
      </c>
      <c r="H9" s="29"/>
      <c r="I9" s="339" t="s">
        <v>348</v>
      </c>
      <c r="J9" s="339" t="s">
        <v>349</v>
      </c>
      <c r="K9" s="339" t="s">
        <v>348</v>
      </c>
      <c r="L9" s="339" t="s">
        <v>349</v>
      </c>
      <c r="AA9" s="59" t="s">
        <v>350</v>
      </c>
      <c r="AC9" s="57" t="s">
        <v>351</v>
      </c>
      <c r="AD9" s="57" t="s">
        <v>352</v>
      </c>
      <c r="AE9" s="57" t="s">
        <v>353</v>
      </c>
      <c r="AF9" s="57" t="s">
        <v>354</v>
      </c>
      <c r="AG9" s="57" t="s">
        <v>355</v>
      </c>
      <c r="AJ9" s="162" t="s">
        <v>356</v>
      </c>
    </row>
    <row r="10" spans="3:70" ht="16.5" customHeight="1">
      <c r="C10" s="70"/>
      <c r="D10" s="70"/>
      <c r="E10" s="70"/>
      <c r="F10" s="340"/>
      <c r="G10" s="340"/>
      <c r="H10" s="70"/>
      <c r="I10" s="340"/>
      <c r="J10" s="340"/>
      <c r="K10" s="340"/>
      <c r="L10" s="340"/>
      <c r="AC10" s="63" t="str">
        <f>City_label</f>
        <v>North Bend</v>
      </c>
      <c r="AD10" s="63"/>
      <c r="AE10" s="220"/>
      <c r="AF10" s="63" t="str">
        <f>County_label</f>
        <v>King County</v>
      </c>
      <c r="AG10" s="63"/>
      <c r="AH10" s="220"/>
      <c r="AK10" s="63" t="str">
        <f>City_label</f>
        <v>North Bend</v>
      </c>
      <c r="AL10" s="63"/>
      <c r="AM10" s="16"/>
      <c r="AN10" s="63" t="str">
        <f>County_label</f>
        <v>King County</v>
      </c>
      <c r="AO10" s="63"/>
      <c r="BA10" s="325"/>
      <c r="BB10" s="325"/>
      <c r="BC10" s="325"/>
      <c r="BD10" s="325"/>
      <c r="BE10" s="325"/>
      <c r="BF10" s="325"/>
      <c r="BG10" s="325"/>
      <c r="BH10" s="325"/>
      <c r="BI10" s="325"/>
      <c r="BJ10" s="325"/>
      <c r="BK10" s="325"/>
      <c r="BL10" s="325"/>
      <c r="BM10" s="205"/>
    </row>
    <row r="11" spans="3:70" ht="18" customHeight="1">
      <c r="C11" s="43" t="s">
        <v>357</v>
      </c>
      <c r="D11" s="29"/>
      <c r="E11" s="29"/>
      <c r="F11" s="208">
        <f t="shared" ref="F11:F16" si="0">AC22</f>
        <v>285</v>
      </c>
      <c r="G11" s="208">
        <f>SUM(AD22:AE22)</f>
        <v>120</v>
      </c>
      <c r="H11" s="209"/>
      <c r="I11" s="255">
        <f>AC22/$AC$27</f>
        <v>0.38</v>
      </c>
      <c r="J11" s="255">
        <f>SUM(AD22:AE22)/SUM($AD$27:$AE$27)</f>
        <v>0.16783216783216784</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25"/>
      <c r="BB11" s="325"/>
      <c r="BC11" s="325"/>
      <c r="BD11" s="325"/>
      <c r="BE11" s="325"/>
      <c r="BF11" s="325"/>
      <c r="BG11" s="325"/>
      <c r="BH11" s="325"/>
      <c r="BI11" s="325"/>
      <c r="BJ11" s="325"/>
      <c r="BK11" s="325"/>
      <c r="BL11" s="325"/>
    </row>
    <row r="12" spans="3:70" ht="18" customHeight="1">
      <c r="C12" s="43" t="s">
        <v>361</v>
      </c>
      <c r="D12" s="29"/>
      <c r="E12" s="29"/>
      <c r="F12" s="208">
        <f t="shared" si="0"/>
        <v>130</v>
      </c>
      <c r="G12" s="208">
        <f t="shared" ref="G12:G14" si="1">SUM(AD23:AE23)</f>
        <v>260</v>
      </c>
      <c r="H12" s="209"/>
      <c r="I12" s="255">
        <f t="shared" ref="I12:I15" si="2">AC23/$AC$27</f>
        <v>0.17333333333333334</v>
      </c>
      <c r="J12" s="255">
        <f t="shared" ref="J12:J14" si="3">SUM(AD23:AE23)/SUM($AD$27:$AE$27)</f>
        <v>0.36363636363636365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0.38</v>
      </c>
      <c r="AL12" s="222">
        <f>SUM(AD22:AE22)/SUM($AD$27:$AE$27)</f>
        <v>0.16783216783216784</v>
      </c>
      <c r="AN12" s="222">
        <f>AF22/AF$27</f>
        <v>0.22588120663094</v>
      </c>
      <c r="AO12" s="222">
        <f>SUM(AG22:AH22)/SUM($AG$27:$AH$27)</f>
        <v>0.10373726527512243</v>
      </c>
      <c r="BA12" s="325"/>
      <c r="BB12" s="325"/>
      <c r="BC12" s="325"/>
      <c r="BD12" s="325"/>
      <c r="BE12" s="325"/>
      <c r="BF12" s="325"/>
      <c r="BG12" s="325"/>
      <c r="BH12" s="325"/>
      <c r="BI12" s="325"/>
      <c r="BJ12" s="325"/>
      <c r="BK12" s="325"/>
      <c r="BL12" s="325"/>
    </row>
    <row r="13" spans="3:70" ht="18" customHeight="1">
      <c r="C13" s="43" t="s">
        <v>365</v>
      </c>
      <c r="D13" s="29"/>
      <c r="E13" s="29"/>
      <c r="F13" s="208">
        <f t="shared" si="0"/>
        <v>40</v>
      </c>
      <c r="G13" s="208">
        <f t="shared" si="1"/>
        <v>110</v>
      </c>
      <c r="H13" s="209"/>
      <c r="I13" s="255">
        <f t="shared" si="2"/>
        <v>5.3333333333333337E-2</v>
      </c>
      <c r="J13" s="255">
        <f t="shared" si="3"/>
        <v>0.15384615384615385</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0.17333333333333334</v>
      </c>
      <c r="AL13" s="222">
        <f t="shared" ref="AL13:AL15" si="6">SUM(AD23:AE23)/SUM($AD$27:$AE$27)</f>
        <v>0.36363636363636365</v>
      </c>
      <c r="AN13" s="222">
        <f t="shared" ref="AN13:AN14" si="7">AF23/AF$27</f>
        <v>0.15602986293072801</v>
      </c>
      <c r="AO13" s="222">
        <f t="shared" ref="AO13:AO15" si="8">SUM(AG23:AH23)/SUM($AG$27:$AH$27)</f>
        <v>0.2016080454652594</v>
      </c>
    </row>
    <row r="14" spans="3:70" ht="18" customHeight="1">
      <c r="C14" s="43" t="s">
        <v>369</v>
      </c>
      <c r="D14" s="29"/>
      <c r="E14" s="29"/>
      <c r="F14" s="210">
        <f t="shared" si="0"/>
        <v>45</v>
      </c>
      <c r="G14" s="208">
        <f t="shared" si="1"/>
        <v>225</v>
      </c>
      <c r="H14" s="211"/>
      <c r="I14" s="255">
        <f t="shared" si="2"/>
        <v>0.06</v>
      </c>
      <c r="J14" s="255">
        <f t="shared" si="3"/>
        <v>0.31468531468531469</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5.3333333333333337E-2</v>
      </c>
      <c r="AL14" s="222">
        <f t="shared" si="6"/>
        <v>0.15384615384615385</v>
      </c>
      <c r="AN14" s="222">
        <f t="shared" si="7"/>
        <v>0.13655575598772829</v>
      </c>
      <c r="AO14" s="222">
        <f t="shared" si="8"/>
        <v>0.30509650891758111</v>
      </c>
      <c r="BP14" s="185"/>
      <c r="BQ14" s="185"/>
      <c r="BR14" s="185"/>
    </row>
    <row r="15" spans="3:70" ht="18" customHeight="1">
      <c r="C15" s="70" t="s">
        <v>373</v>
      </c>
      <c r="D15" s="70"/>
      <c r="E15" s="70"/>
      <c r="F15" s="212">
        <f t="shared" si="0"/>
        <v>240</v>
      </c>
      <c r="G15" s="212">
        <f>AD26</f>
        <v>0</v>
      </c>
      <c r="H15" s="213"/>
      <c r="I15" s="264">
        <f t="shared" si="2"/>
        <v>0.32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0.38</v>
      </c>
      <c r="AL15" s="224">
        <f t="shared" si="6"/>
        <v>0.31468531468531469</v>
      </c>
      <c r="AM15" s="35"/>
      <c r="AN15" s="224">
        <f>SUM(AF25:AF26)/AF$27</f>
        <v>0.48153317445060373</v>
      </c>
      <c r="AO15" s="224">
        <f t="shared" si="8"/>
        <v>0.38954508550925804</v>
      </c>
      <c r="BA15" s="7"/>
      <c r="BP15" s="185"/>
      <c r="BQ15" s="335" t="s">
        <v>378</v>
      </c>
      <c r="BR15" s="336"/>
    </row>
    <row r="16" spans="3:70" ht="18" customHeight="1">
      <c r="C16" s="81" t="s">
        <v>150</v>
      </c>
      <c r="D16" s="16"/>
      <c r="E16" s="16"/>
      <c r="F16" s="221">
        <f t="shared" si="0"/>
        <v>750</v>
      </c>
      <c r="G16" s="221">
        <f>SUM(G11:G15)</f>
        <v>715</v>
      </c>
      <c r="AA16" s="28" t="s">
        <v>379</v>
      </c>
      <c r="AC16" s="112" t="s">
        <v>380</v>
      </c>
      <c r="AD16" s="112"/>
      <c r="AE16" s="112"/>
      <c r="AF16" s="112" t="s">
        <v>380</v>
      </c>
      <c r="AG16" s="112"/>
      <c r="AH16" s="112"/>
      <c r="AJ16" s="28"/>
      <c r="AK16" s="223">
        <f>SUM(AK12:AK15)</f>
        <v>0.98666666666666669</v>
      </c>
      <c r="AL16" s="223">
        <f>SUM(AL12:AL15)</f>
        <v>1</v>
      </c>
      <c r="AN16" s="223">
        <f t="shared" ref="AN16:AO16" si="9">SUM(AN12:AN15)</f>
        <v>1</v>
      </c>
      <c r="AO16" s="223">
        <f t="shared" si="9"/>
        <v>0.999986905167221</v>
      </c>
      <c r="BA16" s="7"/>
      <c r="BP16" s="185"/>
      <c r="BQ16" s="337"/>
      <c r="BR16" s="338"/>
    </row>
    <row r="17" spans="3:71" ht="14.25" customHeight="1">
      <c r="C17" s="333" t="s">
        <v>381</v>
      </c>
      <c r="D17" s="333"/>
      <c r="E17" s="333"/>
      <c r="F17" s="333"/>
      <c r="G17" s="333"/>
      <c r="H17" s="333"/>
      <c r="I17" s="333"/>
      <c r="J17" s="333"/>
      <c r="K17" s="333"/>
      <c r="L17" s="333"/>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4"/>
      <c r="D18" s="334"/>
      <c r="E18" s="334"/>
      <c r="F18" s="334"/>
      <c r="G18" s="334"/>
      <c r="H18" s="334"/>
      <c r="I18" s="334"/>
      <c r="J18" s="334"/>
      <c r="K18" s="334"/>
      <c r="L18" s="334"/>
      <c r="BA18" s="7"/>
      <c r="BQ18" s="185"/>
      <c r="BR18" s="206"/>
      <c r="BS18" s="206"/>
    </row>
    <row r="19" spans="3:71" ht="17.45" customHeight="1">
      <c r="AJ19" s="57"/>
      <c r="BQ19" s="202"/>
      <c r="BR19" s="185"/>
      <c r="BS19" s="203"/>
    </row>
    <row r="20" spans="3:71" ht="20.25" customHeight="1">
      <c r="C20" s="304" t="str">
        <f>"Chart 10. "&amp;City_label&amp;" and "&amp;County_label&amp;" renter household income compared to rental unit affordability, 2019"</f>
        <v>Chart 10. North Bend and King County renter household income compared to rental unit affordability, 2019</v>
      </c>
      <c r="D20" s="304"/>
      <c r="E20" s="304"/>
      <c r="F20" s="304"/>
      <c r="G20" s="304"/>
      <c r="H20" s="304"/>
      <c r="I20" s="304"/>
      <c r="J20" s="304"/>
      <c r="K20" s="304"/>
      <c r="L20" s="304"/>
      <c r="AA20" s="31"/>
      <c r="AC20" s="63" t="str">
        <f>City_label</f>
        <v>North Bend</v>
      </c>
      <c r="AD20" s="63"/>
      <c r="AE20" s="63"/>
      <c r="AF20" s="63" t="str">
        <f>County_label</f>
        <v>King County</v>
      </c>
      <c r="AG20" s="63"/>
    </row>
    <row r="21" spans="3:71" ht="20.25" customHeight="1">
      <c r="C21" s="304"/>
      <c r="D21" s="304"/>
      <c r="E21" s="304"/>
      <c r="F21" s="304"/>
      <c r="G21" s="304"/>
      <c r="H21" s="304"/>
      <c r="I21" s="304"/>
      <c r="J21" s="304"/>
      <c r="K21" s="304"/>
      <c r="L21" s="304"/>
      <c r="AA21" s="7"/>
      <c r="AC21" t="s">
        <v>358</v>
      </c>
      <c r="AD21" t="s">
        <v>359</v>
      </c>
      <c r="AE21" t="s">
        <v>360</v>
      </c>
      <c r="AF21" t="s">
        <v>358</v>
      </c>
      <c r="AG21" t="s">
        <v>359</v>
      </c>
      <c r="AH21" t="s">
        <v>360</v>
      </c>
    </row>
    <row r="22" spans="3:71" ht="17.25" customHeight="1">
      <c r="AA22" s="7" t="s">
        <v>343</v>
      </c>
      <c r="AC22" s="1">
        <v>285</v>
      </c>
      <c r="AD22" s="1">
        <v>120</v>
      </c>
      <c r="AE22" s="1">
        <v>0</v>
      </c>
      <c r="AF22" s="1">
        <v>85775</v>
      </c>
      <c r="AG22" s="1">
        <v>39040</v>
      </c>
      <c r="AH22" s="1">
        <v>570</v>
      </c>
    </row>
    <row r="23" spans="3:71" ht="17.25" customHeight="1">
      <c r="AA23" s="7" t="s">
        <v>344</v>
      </c>
      <c r="AC23" s="1">
        <v>130</v>
      </c>
      <c r="AD23" s="1">
        <v>260</v>
      </c>
      <c r="AE23" s="1">
        <v>0</v>
      </c>
      <c r="AF23" s="1">
        <v>59250</v>
      </c>
      <c r="AG23" s="1">
        <v>74720</v>
      </c>
      <c r="AH23" s="1">
        <v>2260</v>
      </c>
    </row>
    <row r="24" spans="3:71" ht="17.25" customHeight="1">
      <c r="C24" s="51"/>
      <c r="AA24" s="7" t="s">
        <v>345</v>
      </c>
      <c r="AC24" s="1">
        <v>40</v>
      </c>
      <c r="AD24" s="1">
        <v>110</v>
      </c>
      <c r="AE24" s="1">
        <v>0</v>
      </c>
      <c r="AF24" s="1">
        <v>51855</v>
      </c>
      <c r="AG24" s="1">
        <v>113030</v>
      </c>
      <c r="AH24" s="1">
        <v>3465</v>
      </c>
    </row>
    <row r="25" spans="3:71" ht="17.25" customHeight="1">
      <c r="C25" s="51"/>
      <c r="AA25" s="7" t="s">
        <v>374</v>
      </c>
      <c r="AC25" s="1">
        <v>45</v>
      </c>
      <c r="AD25" s="1">
        <v>225</v>
      </c>
      <c r="AE25" s="1">
        <v>0</v>
      </c>
      <c r="AF25" s="1">
        <v>40645</v>
      </c>
      <c r="AG25" s="1">
        <v>143060</v>
      </c>
      <c r="AH25" s="1">
        <v>5680</v>
      </c>
    </row>
    <row r="26" spans="3:71" ht="17.25" customHeight="1">
      <c r="C26" s="51"/>
      <c r="AA26" s="28" t="s">
        <v>379</v>
      </c>
      <c r="AC26" s="1">
        <v>240</v>
      </c>
      <c r="AD26" s="1"/>
      <c r="AE26" s="1"/>
      <c r="AF26" s="1">
        <v>142210</v>
      </c>
      <c r="AG26" s="1"/>
      <c r="AH26" s="1"/>
      <c r="AI26" s="31"/>
    </row>
    <row r="27" spans="3:71" ht="18">
      <c r="C27" s="51"/>
      <c r="AA27" s="7" t="s">
        <v>190</v>
      </c>
      <c r="AC27" s="2">
        <v>750</v>
      </c>
      <c r="AD27" s="1">
        <v>715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285</v>
      </c>
      <c r="AD35" s="33">
        <f>SUM(AD22:AE22)</f>
        <v>120</v>
      </c>
      <c r="AE35" s="188">
        <f>AD35-AC35</f>
        <v>-165</v>
      </c>
      <c r="AF35" s="31"/>
      <c r="AG35" s="5">
        <f>MAX(AC35,AD35)</f>
        <v>285</v>
      </c>
      <c r="AH35" s="5">
        <f>AG35+$AH$39</f>
        <v>313.5</v>
      </c>
      <c r="AI35" t="str">
        <f>IF(AE35&lt;0,"Shortfall:",IF(AE35&gt;0,"Surplus: ",""))&amp;CHAR(10)&amp;TEXT((AE35),"+#,##0;-#,##0;0")&amp;" units"</f>
        <v>Shortfall:
-165 units</v>
      </c>
    </row>
    <row r="36" spans="3:39">
      <c r="AA36" s="7" t="s">
        <v>344</v>
      </c>
      <c r="AB36" s="164" t="s">
        <v>393</v>
      </c>
      <c r="AC36" s="5">
        <f>AC23</f>
        <v>130</v>
      </c>
      <c r="AD36" s="33">
        <f>SUM(AD23:AE23)</f>
        <v>260</v>
      </c>
      <c r="AE36" s="188">
        <f>AD36-AC36</f>
        <v>130</v>
      </c>
      <c r="AF36" s="31"/>
      <c r="AG36" s="5">
        <f>MAX(AC36,AD36)</f>
        <v>260</v>
      </c>
      <c r="AH36" s="5">
        <f>AG36+$AH$39</f>
        <v>288.5</v>
      </c>
      <c r="AI36" t="str">
        <f>IF(AE36&lt;0,"Shortfall:",IF(AE36&gt;0,"Surplus: ",""))&amp;CHAR(10)&amp;TEXT((AE36),"+#,##0;-#,##0;0")&amp;" units"</f>
        <v>Surplus: 
+130 units</v>
      </c>
    </row>
    <row r="37" spans="3:39">
      <c r="AA37" s="7" t="s">
        <v>345</v>
      </c>
      <c r="AB37" s="164" t="s">
        <v>394</v>
      </c>
      <c r="AC37" s="5">
        <f>AC24</f>
        <v>40</v>
      </c>
      <c r="AD37" s="33">
        <f>SUM(AD24:AE24)</f>
        <v>110</v>
      </c>
      <c r="AE37" s="188">
        <f>AD37-AC37</f>
        <v>70</v>
      </c>
      <c r="AF37" s="31"/>
      <c r="AG37" s="5">
        <f>MAX(AC37,AD37)</f>
        <v>110</v>
      </c>
      <c r="AH37" s="5">
        <f>AG37+$AH$39</f>
        <v>138.5</v>
      </c>
      <c r="AI37" t="str">
        <f>IF(AE37&lt;0,"Shortfall:",IF(AE37&gt;0,"Surplus: ",""))&amp;CHAR(10)&amp;TEXT((AE37),"+#,##0;-#,##0;0")&amp;" units"</f>
        <v>Surplus: 
+70 units</v>
      </c>
    </row>
    <row r="38" spans="3:39">
      <c r="AA38" s="7" t="s">
        <v>374</v>
      </c>
      <c r="AB38" s="164" t="s">
        <v>395</v>
      </c>
      <c r="AC38" s="5">
        <f>SUM(AC25:AC26)</f>
        <v>285</v>
      </c>
      <c r="AD38" s="33">
        <f>SUM(AD25:AE25)</f>
        <v>225</v>
      </c>
      <c r="AE38" s="188">
        <f>AD38-AC38</f>
        <v>-60</v>
      </c>
      <c r="AF38" s="31"/>
      <c r="AG38" s="5">
        <f>MAX(AC38,AD38)</f>
        <v>285</v>
      </c>
      <c r="AH38" s="5">
        <f>AG38+$AH$39</f>
        <v>313.5</v>
      </c>
      <c r="AI38" t="str">
        <f>IF(AE38&lt;0,"Shortfall:",IF(AE38&gt;0,"Surplus: ",""))&amp;CHAR(10)&amp;TEXT((AE38),"+#,##0;-#,##0;0")&amp;" units"</f>
        <v>Shortfall:
-60 units</v>
      </c>
    </row>
    <row r="39" spans="3:39">
      <c r="AA39" s="28" t="s">
        <v>379</v>
      </c>
      <c r="AC39" s="5">
        <f>AC27</f>
        <v>750</v>
      </c>
      <c r="AD39" s="33">
        <f>SUM(AD27:AE27)</f>
        <v>715</v>
      </c>
      <c r="AE39" s="33"/>
      <c r="AF39" s="31"/>
      <c r="AG39" s="59" t="s">
        <v>396</v>
      </c>
      <c r="AH39" s="109">
        <f>0.1*MAX(AC35:AC37)</f>
        <v>28.5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1" t="str">
        <f>"Chart 11. "&amp;City_label&amp;" renter households by income compared to rental units by affordability, 2019"</f>
        <v>Chart 11. North Bend renter households by income compared to rental units by affordability, 2019</v>
      </c>
      <c r="D45" s="341"/>
      <c r="E45" s="341"/>
      <c r="F45" s="341"/>
      <c r="G45" s="341"/>
      <c r="H45" s="341"/>
      <c r="I45" s="341"/>
      <c r="J45" s="341"/>
      <c r="K45" s="341"/>
      <c r="L45" s="341"/>
      <c r="AA45" s="31"/>
      <c r="AB45" s="31"/>
      <c r="AC45" s="61" t="s">
        <v>401</v>
      </c>
      <c r="AD45" s="61" t="s">
        <v>402</v>
      </c>
      <c r="AE45" s="61" t="s">
        <v>403</v>
      </c>
      <c r="AJ45" s="31"/>
      <c r="AK45" s="31"/>
      <c r="AL45" s="31"/>
      <c r="AM45" s="31"/>
    </row>
    <row r="46" spans="3:39" ht="21" customHeight="1">
      <c r="C46" s="341"/>
      <c r="D46" s="341"/>
      <c r="E46" s="341"/>
      <c r="F46" s="341"/>
      <c r="G46" s="341"/>
      <c r="H46" s="341"/>
      <c r="I46" s="341"/>
      <c r="J46" s="341"/>
      <c r="K46" s="341"/>
      <c r="L46" s="341"/>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320</v>
      </c>
      <c r="AD55" s="1">
        <v>145</v>
      </c>
      <c r="AE55" s="1">
        <v>0</v>
      </c>
    </row>
    <row r="56" spans="27:39">
      <c r="AA56" s="7" t="s">
        <v>344</v>
      </c>
      <c r="AB56" s="31" t="s">
        <v>393</v>
      </c>
      <c r="AC56" s="1">
        <v>55</v>
      </c>
      <c r="AD56" s="1">
        <v>90</v>
      </c>
      <c r="AE56" s="1">
        <v>30</v>
      </c>
    </row>
    <row r="57" spans="27:39">
      <c r="AA57" s="7" t="s">
        <v>345</v>
      </c>
      <c r="AB57" s="31" t="s">
        <v>394</v>
      </c>
      <c r="AC57" s="1">
        <v>185</v>
      </c>
      <c r="AD57" s="1">
        <v>430</v>
      </c>
      <c r="AE57" s="1">
        <v>0</v>
      </c>
    </row>
    <row r="58" spans="27:39">
      <c r="AA58" s="7" t="s">
        <v>374</v>
      </c>
      <c r="AB58" s="31" t="s">
        <v>395</v>
      </c>
      <c r="AC58" s="1">
        <v>50</v>
      </c>
      <c r="AD58" s="1">
        <v>170</v>
      </c>
      <c r="AE58" s="1">
        <v>0</v>
      </c>
    </row>
    <row r="59" spans="27:39">
      <c r="AA59" s="28" t="s">
        <v>379</v>
      </c>
      <c r="AB59" s="31"/>
      <c r="AC59" s="1">
        <v>245</v>
      </c>
      <c r="AD59" s="1"/>
      <c r="AE59" s="1"/>
    </row>
    <row r="60" spans="27:39" ht="15">
      <c r="AA60" s="7" t="s">
        <v>190</v>
      </c>
      <c r="AB60" s="31"/>
      <c r="AC60" s="2">
        <v>855</v>
      </c>
      <c r="AD60" s="2">
        <v>840</v>
      </c>
      <c r="AE60" s="2">
        <v>30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320</v>
      </c>
      <c r="AD65" s="33">
        <f>SUM(AD55:AE55)</f>
        <v>145</v>
      </c>
      <c r="AE65" s="97">
        <f>AD65-AC65</f>
        <v>-175</v>
      </c>
      <c r="AF65" s="31"/>
      <c r="AG65" s="5">
        <f>MAX(AC65,AD65)</f>
        <v>320</v>
      </c>
      <c r="AH65" s="5">
        <f>AG65+$AH$39</f>
        <v>348.5</v>
      </c>
      <c r="AI65" t="str">
        <f>IF(AE65&lt;0,"Shortfall:",IF(AE65&gt;0,"Surplus: ",""))&amp;CHAR(10)&amp;TEXT((AE65),"+#,##0;-#,##0;0")&amp;" units"</f>
        <v>Shortfall:
-175 units</v>
      </c>
      <c r="AK65" s="31"/>
      <c r="AL65" s="31"/>
      <c r="AM65" s="31"/>
    </row>
    <row r="66" spans="3:39" ht="15">
      <c r="AA66" s="7"/>
      <c r="AB66" s="31" t="s">
        <v>393</v>
      </c>
      <c r="AC66" s="5">
        <f>SUM(AC56)</f>
        <v>55</v>
      </c>
      <c r="AD66" s="33">
        <f>SUM(AD56:AE56)</f>
        <v>120</v>
      </c>
      <c r="AE66" s="97">
        <f>AD66-AC66</f>
        <v>65</v>
      </c>
      <c r="AF66" s="31"/>
      <c r="AG66" s="5">
        <f>MAX(AC66,AD66)</f>
        <v>120</v>
      </c>
      <c r="AH66" s="5">
        <f>AG66+$AH$39</f>
        <v>148.5</v>
      </c>
      <c r="AI66" t="str">
        <f>IF(AE66&lt;0,"Shortfall:",IF(AE66&gt;0,"Surplus: ",""))&amp;CHAR(10)&amp;TEXT((AE66),"+#,##0;-#,##0;0")&amp;" units"</f>
        <v>Surplus: 
+65 units</v>
      </c>
      <c r="AK66" s="31"/>
      <c r="AL66" s="31"/>
      <c r="AM66" s="31"/>
    </row>
    <row r="67" spans="3:39" ht="15">
      <c r="AA67" s="7"/>
      <c r="AB67" s="31" t="s">
        <v>394</v>
      </c>
      <c r="AC67" s="5">
        <f>SUM(AC57)</f>
        <v>185</v>
      </c>
      <c r="AD67" s="33">
        <f>SUM(AD57:AE57)</f>
        <v>430</v>
      </c>
      <c r="AE67" s="97">
        <f>AD67-AC67</f>
        <v>245</v>
      </c>
      <c r="AF67" s="31"/>
      <c r="AG67" s="5">
        <f>MAX(AC67,AD67)</f>
        <v>430</v>
      </c>
      <c r="AH67" s="5">
        <f>AG67+$AH$39</f>
        <v>458.5</v>
      </c>
      <c r="AI67" t="str">
        <f>IF(AE67&lt;0,"Shortfall:",IF(AE67&gt;0,"Surplus: ",""))&amp;CHAR(10)&amp;TEXT((AE67),"+#,##0;-#,##0;0")&amp;" units"</f>
        <v>Surplus: 
+245 units</v>
      </c>
      <c r="AK67" s="31"/>
      <c r="AL67" s="31"/>
      <c r="AM67" s="31"/>
    </row>
    <row r="68" spans="3:39" ht="18.75" customHeight="1">
      <c r="D68" s="200"/>
      <c r="E68" s="200"/>
      <c r="F68" s="200"/>
      <c r="G68" s="200"/>
      <c r="H68" s="200"/>
      <c r="I68" s="200"/>
      <c r="J68" s="200"/>
      <c r="K68" s="200"/>
      <c r="L68" s="200"/>
      <c r="AA68" s="7"/>
      <c r="AB68" s="31" t="s">
        <v>395</v>
      </c>
      <c r="AC68" s="5">
        <f>SUM(AC58:AC59)</f>
        <v>295</v>
      </c>
      <c r="AD68" s="33">
        <f>SUM(AD58:AE58)</f>
        <v>170</v>
      </c>
      <c r="AE68" s="97">
        <f>AD68-AC68</f>
        <v>-125</v>
      </c>
      <c r="AF68" s="31"/>
      <c r="AG68" s="5">
        <f>MAX(AC68,AD68)</f>
        <v>295</v>
      </c>
      <c r="AH68" s="5">
        <f>AG68+$AH$39</f>
        <v>323.5</v>
      </c>
      <c r="AI68" t="str">
        <f>IF(AE68&lt;0,"Shortfall:",IF(AE68&gt;0,"Surplus: ",""))&amp;CHAR(10)&amp;TEXT((AE68),"+#,##0;-#,##0;0")&amp;" units"</f>
        <v>Shortfall:
-125 units</v>
      </c>
      <c r="AK68" s="31"/>
      <c r="AL68" s="31"/>
      <c r="AM68" s="31"/>
    </row>
    <row r="69" spans="3:39" ht="18.75" customHeight="1">
      <c r="C69" s="200"/>
      <c r="D69" s="200"/>
      <c r="E69" s="200"/>
      <c r="F69" s="200"/>
      <c r="G69" s="200"/>
      <c r="H69" s="200"/>
      <c r="I69" s="200"/>
      <c r="J69" s="200"/>
      <c r="K69" s="200"/>
      <c r="L69" s="200"/>
      <c r="AA69" s="7"/>
      <c r="AB69" s="31"/>
      <c r="AC69" s="5">
        <f>AC60</f>
        <v>855</v>
      </c>
      <c r="AD69" s="33">
        <f>SUM(AD60:AE60)</f>
        <v>870</v>
      </c>
      <c r="AE69" s="33"/>
      <c r="AF69" s="31"/>
      <c r="AG69" s="59" t="s">
        <v>396</v>
      </c>
      <c r="AH69" s="109">
        <f>0.1*MAX(AC65:AC68)</f>
        <v>32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2" t="s">
        <v>406</v>
      </c>
      <c r="D73" s="332"/>
      <c r="E73" s="332"/>
      <c r="F73" s="332"/>
      <c r="G73" s="332"/>
      <c r="H73" s="332"/>
      <c r="I73" s="332"/>
      <c r="J73" s="332"/>
      <c r="K73" s="332"/>
      <c r="L73" s="332"/>
      <c r="M73" s="278"/>
      <c r="AA73" s="125" t="s">
        <v>407</v>
      </c>
      <c r="AB73" s="261"/>
      <c r="AC73" s="261"/>
    </row>
    <row r="74" spans="3:39">
      <c r="C74" s="332"/>
      <c r="D74" s="332"/>
      <c r="E74" s="332"/>
      <c r="F74" s="332"/>
      <c r="G74" s="332"/>
      <c r="H74" s="332"/>
      <c r="I74" s="332"/>
      <c r="J74" s="332"/>
      <c r="K74" s="332"/>
      <c r="L74" s="332"/>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1" t="str">
        <f>"Chart 12. "&amp;City_label&amp;" five year change in renter households by income and rental units by affordability, 2014 - 2019"</f>
        <v>Chart 12. North Bend five year change in renter households by income and rental units by affordability, 2014 - 2019</v>
      </c>
      <c r="D78" s="341"/>
      <c r="E78" s="341"/>
      <c r="F78" s="341"/>
      <c r="G78" s="341"/>
      <c r="H78" s="341"/>
      <c r="I78" s="341"/>
      <c r="J78" s="341"/>
      <c r="K78" s="341"/>
      <c r="L78" s="341"/>
      <c r="AB78" s="31" t="s">
        <v>392</v>
      </c>
      <c r="AC78" s="5">
        <f t="shared" ref="AC78:AD80" si="10">AC35-AC65</f>
        <v>-35</v>
      </c>
      <c r="AD78" s="5">
        <f t="shared" si="10"/>
        <v>-25</v>
      </c>
      <c r="AE78" s="5">
        <f>AD78-AC78</f>
        <v>10</v>
      </c>
      <c r="AG78" s="5">
        <f>MAX(AC78,AD78)</f>
        <v>-25</v>
      </c>
      <c r="AH78" s="5">
        <f>MAX(AG78,0)+$AH$82</f>
        <v>91</v>
      </c>
      <c r="AI78" t="str">
        <f>"Difference:"&amp;CHAR(10)&amp;TEXT(AE78,"+#,##0;-#,##0;0")&amp;" units"</f>
        <v>Difference:
+10 units</v>
      </c>
    </row>
    <row r="79" spans="3:39" ht="18" customHeight="1">
      <c r="C79" s="341"/>
      <c r="D79" s="341"/>
      <c r="E79" s="341"/>
      <c r="F79" s="341"/>
      <c r="G79" s="341"/>
      <c r="H79" s="341"/>
      <c r="I79" s="341"/>
      <c r="J79" s="341"/>
      <c r="K79" s="341"/>
      <c r="L79" s="341"/>
      <c r="AB79" s="31" t="s">
        <v>393</v>
      </c>
      <c r="AC79" s="5">
        <f t="shared" si="10"/>
        <v>75</v>
      </c>
      <c r="AD79" s="5">
        <f t="shared" si="10"/>
        <v>140</v>
      </c>
      <c r="AE79" s="5">
        <f>AD79-AC79</f>
        <v>65</v>
      </c>
      <c r="AG79" s="5">
        <f>MAX(AC79,AD79)</f>
        <v>140</v>
      </c>
      <c r="AH79" s="5">
        <f>MAX(AG79,0)+$AH$82</f>
        <v>231</v>
      </c>
      <c r="AI79" t="str">
        <f>"Difference:"&amp;CHAR(10)&amp;TEXT(AE79,"+#,##0;-#,##0;0")&amp;" units"</f>
        <v>Difference:
+65 units</v>
      </c>
    </row>
    <row r="80" spans="3:39" ht="18">
      <c r="C80" s="192"/>
      <c r="D80" s="192"/>
      <c r="E80" s="192"/>
      <c r="F80" s="192"/>
      <c r="G80" s="192"/>
      <c r="H80" s="192"/>
      <c r="I80" s="192"/>
      <c r="J80" s="192"/>
      <c r="K80" s="192"/>
      <c r="L80" s="192"/>
      <c r="AB80" s="31" t="s">
        <v>394</v>
      </c>
      <c r="AC80" s="5">
        <f t="shared" si="10"/>
        <v>-145</v>
      </c>
      <c r="AD80" s="5">
        <f t="shared" si="10"/>
        <v>-320</v>
      </c>
      <c r="AE80" s="5">
        <f>AD80-AC80</f>
        <v>-175</v>
      </c>
      <c r="AG80" s="5">
        <f>MAX(AC80,AD80)</f>
        <v>-145</v>
      </c>
      <c r="AH80" s="5">
        <f>MAX(AG80,0)+$AH$82</f>
        <v>91</v>
      </c>
      <c r="AI80" t="str">
        <f>"Difference:"&amp;CHAR(10)&amp;TEXT(AE80,"+#,##0;-#,##0;0")&amp;" units"</f>
        <v>Difference:
-175 units</v>
      </c>
    </row>
    <row r="81" spans="28:35">
      <c r="AB81" s="31" t="s">
        <v>395</v>
      </c>
      <c r="AC81" s="5">
        <f>AC39-AC68</f>
        <v>455</v>
      </c>
      <c r="AD81" s="5">
        <f>AD39-AD68</f>
        <v>545</v>
      </c>
      <c r="AE81" s="5">
        <f>AD81-AC81</f>
        <v>90</v>
      </c>
      <c r="AG81" s="5">
        <f>MAX(AC81,AD81)</f>
        <v>545</v>
      </c>
      <c r="AH81" s="5">
        <f>MAX(AG81,0)+$AH$82</f>
        <v>636</v>
      </c>
      <c r="AI81" t="str">
        <f>"Difference:"&amp;CHAR(10)&amp;TEXT(AE81,"+#,##0;-#,##0;0")&amp;" units"</f>
        <v>Difference:
+90 units</v>
      </c>
    </row>
    <row r="82" spans="28:35" ht="13.9" customHeight="1">
      <c r="AG82" s="59" t="s">
        <v>396</v>
      </c>
      <c r="AH82" s="109">
        <f>0.2*MAX(AB78:AC81)</f>
        <v>91</v>
      </c>
    </row>
    <row r="84" spans="28:35">
      <c r="AI84" s="109"/>
    </row>
    <row r="85" spans="28:35">
      <c r="AH85" s="109"/>
    </row>
    <row r="94" spans="28:35" ht="14.25" customHeight="1"/>
    <row r="101" spans="3:12" ht="13.9" customHeight="1"/>
    <row r="102" spans="3:12" ht="13.9" customHeight="1"/>
    <row r="108" spans="3:12">
      <c r="C108" s="332" t="s">
        <v>411</v>
      </c>
      <c r="D108" s="332"/>
      <c r="E108" s="332"/>
      <c r="F108" s="332"/>
      <c r="G108" s="332"/>
      <c r="H108" s="332"/>
      <c r="I108" s="332"/>
      <c r="J108" s="332"/>
      <c r="K108" s="332"/>
      <c r="L108" s="332"/>
    </row>
    <row r="109" spans="3:12">
      <c r="C109" s="332"/>
      <c r="D109" s="332"/>
      <c r="E109" s="332"/>
      <c r="F109" s="332"/>
      <c r="G109" s="332"/>
      <c r="H109" s="332"/>
      <c r="I109" s="332"/>
      <c r="J109" s="332"/>
      <c r="K109" s="332"/>
      <c r="L109" s="332"/>
    </row>
    <row r="110" spans="3:12">
      <c r="C110" s="332"/>
      <c r="D110" s="332"/>
      <c r="E110" s="332"/>
      <c r="F110" s="332"/>
      <c r="G110" s="332"/>
      <c r="H110" s="332"/>
      <c r="I110" s="332"/>
      <c r="J110" s="332"/>
      <c r="K110" s="332"/>
      <c r="L110" s="332"/>
    </row>
    <row r="111" spans="3:12">
      <c r="C111" s="332"/>
      <c r="D111" s="332"/>
      <c r="E111" s="332"/>
      <c r="F111" s="332"/>
      <c r="G111" s="332"/>
      <c r="H111" s="332"/>
      <c r="I111" s="332"/>
      <c r="J111" s="332"/>
      <c r="K111" s="332"/>
      <c r="L111" s="332"/>
    </row>
    <row r="112" spans="3:12">
      <c r="C112" s="332"/>
      <c r="D112" s="332"/>
      <c r="E112" s="332"/>
      <c r="F112" s="332"/>
      <c r="G112" s="332"/>
      <c r="H112" s="332"/>
      <c r="I112" s="332"/>
      <c r="J112" s="332"/>
      <c r="K112" s="332"/>
      <c r="L112" s="332"/>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2" t="str">
        <f>City</f>
        <v>North Bend city, Washington</v>
      </c>
      <c r="AC5" s="353"/>
      <c r="AD5" s="353"/>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North Bend count of households by income and race, 2019</v>
      </c>
      <c r="AA6" s="126" t="s">
        <v>128</v>
      </c>
      <c r="AB6" s="352" t="str">
        <f>County_label</f>
        <v>King County</v>
      </c>
      <c r="AC6" s="353"/>
      <c r="AD6" s="353"/>
      <c r="AZ6" s="343" t="s">
        <v>413</v>
      </c>
      <c r="BA6" s="343"/>
      <c r="BB6" s="343"/>
      <c r="BC6" s="347" t="s">
        <v>414</v>
      </c>
      <c r="BD6" s="347"/>
      <c r="BE6" s="347"/>
      <c r="BF6" s="347" t="s">
        <v>415</v>
      </c>
      <c r="BG6" s="347"/>
      <c r="BH6" s="347"/>
      <c r="BI6" s="343" t="s">
        <v>416</v>
      </c>
      <c r="BJ6" s="343"/>
      <c r="BK6" s="343"/>
      <c r="BL6" s="343" t="s">
        <v>417</v>
      </c>
      <c r="BM6" s="343"/>
      <c r="BN6" s="343"/>
    </row>
    <row r="7" spans="2:66" ht="16.5" customHeight="1" thickBot="1">
      <c r="B7" s="133"/>
      <c r="C7" s="133"/>
      <c r="D7" s="133"/>
      <c r="E7" s="133"/>
      <c r="F7" s="133"/>
      <c r="G7" s="133"/>
      <c r="H7" s="133"/>
      <c r="I7" s="133"/>
      <c r="AZ7" s="343"/>
      <c r="BA7" s="343"/>
      <c r="BB7" s="343"/>
      <c r="BC7" s="347"/>
      <c r="BD7" s="347"/>
      <c r="BE7" s="347"/>
      <c r="BF7" s="347"/>
      <c r="BG7" s="347"/>
      <c r="BH7" s="347"/>
      <c r="BI7" s="343"/>
      <c r="BJ7" s="343"/>
      <c r="BK7" s="343"/>
      <c r="BL7" s="343"/>
      <c r="BM7" s="343"/>
      <c r="BN7" s="343"/>
    </row>
    <row r="8" spans="2:66" ht="21" customHeight="1">
      <c r="C8" s="350" t="str">
        <f>AF12</f>
        <v>American Indian or Alaska Native</v>
      </c>
      <c r="D8" s="354" t="str">
        <f>AD12</f>
        <v>Asian</v>
      </c>
      <c r="E8" s="350" t="str">
        <f>AC12</f>
        <v>Black or African American</v>
      </c>
      <c r="F8" s="354" t="str">
        <f>AB12</f>
        <v>Hispanic or Latino (of any race)</v>
      </c>
      <c r="G8" s="354" t="str">
        <f>AE12</f>
        <v>Pacific Islander</v>
      </c>
      <c r="H8" s="354" t="str">
        <f>AG12</f>
        <v>White</v>
      </c>
      <c r="I8" s="354" t="s">
        <v>418</v>
      </c>
      <c r="J8" s="354"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1"/>
      <c r="D9" s="355"/>
      <c r="E9" s="351"/>
      <c r="F9" s="355"/>
      <c r="G9" s="355"/>
      <c r="H9" s="355"/>
      <c r="I9" s="355"/>
      <c r="J9" s="355"/>
      <c r="BB9" s="25"/>
      <c r="BC9" s="19"/>
      <c r="BD9" s="19"/>
      <c r="BE9" s="19"/>
      <c r="BF9" s="19"/>
      <c r="BG9" s="19"/>
    </row>
    <row r="10" spans="2:66" ht="13.9" customHeight="1">
      <c r="C10" s="351"/>
      <c r="D10" s="355"/>
      <c r="E10" s="351"/>
      <c r="F10" s="355"/>
      <c r="G10" s="355"/>
      <c r="H10" s="355"/>
      <c r="I10" s="355"/>
      <c r="J10" s="355"/>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1"/>
      <c r="D11" s="355"/>
      <c r="E11" s="351"/>
      <c r="F11" s="355"/>
      <c r="G11" s="355"/>
      <c r="H11" s="355"/>
      <c r="I11" s="355"/>
      <c r="J11" s="355"/>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1"/>
      <c r="D12" s="355"/>
      <c r="E12" s="351"/>
      <c r="F12" s="355"/>
      <c r="G12" s="355"/>
      <c r="H12" s="355"/>
      <c r="I12" s="355"/>
      <c r="J12" s="355"/>
      <c r="AA12" s="348" t="s">
        <v>424</v>
      </c>
      <c r="AB12" s="344" t="s">
        <v>158</v>
      </c>
      <c r="AC12" s="344" t="s">
        <v>140</v>
      </c>
      <c r="AD12" s="344" t="s">
        <v>146</v>
      </c>
      <c r="AE12" s="344" t="s">
        <v>188</v>
      </c>
      <c r="AF12" s="344" t="s">
        <v>187</v>
      </c>
      <c r="AG12" s="344" t="s">
        <v>137</v>
      </c>
      <c r="AH12" s="344"/>
      <c r="AI12" s="344" t="s">
        <v>190</v>
      </c>
      <c r="AJ12" s="349"/>
      <c r="AL12" s="348" t="s">
        <v>424</v>
      </c>
      <c r="AM12" s="344" t="s">
        <v>158</v>
      </c>
      <c r="AN12" s="344" t="s">
        <v>140</v>
      </c>
      <c r="AO12" s="344" t="s">
        <v>146</v>
      </c>
      <c r="AP12" s="344" t="s">
        <v>188</v>
      </c>
      <c r="AQ12" s="344" t="s">
        <v>187</v>
      </c>
      <c r="AR12" s="344" t="s">
        <v>137</v>
      </c>
      <c r="AS12" s="344" t="s">
        <v>425</v>
      </c>
      <c r="AT12" s="345"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8"/>
      <c r="AB13" s="344"/>
      <c r="AC13" s="344"/>
      <c r="AD13" s="344"/>
      <c r="AE13" s="344"/>
      <c r="AF13" s="344"/>
      <c r="AG13" s="344"/>
      <c r="AH13" s="344"/>
      <c r="AI13" s="344"/>
      <c r="AJ13" s="349"/>
      <c r="AL13" s="348"/>
      <c r="AM13" s="344"/>
      <c r="AN13" s="344"/>
      <c r="AO13" s="344"/>
      <c r="AP13" s="344"/>
      <c r="AQ13" s="344"/>
      <c r="AR13" s="344"/>
      <c r="AS13" s="344"/>
      <c r="AT13" s="345"/>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45</v>
      </c>
      <c r="G14" s="182">
        <f t="shared" si="0"/>
        <v>0</v>
      </c>
      <c r="H14" s="182">
        <f t="shared" si="0"/>
        <v>385</v>
      </c>
      <c r="I14" s="230">
        <f>J14-SUM(C14:H14)</f>
        <v>0</v>
      </c>
      <c r="J14" s="182">
        <f>AI101</f>
        <v>430</v>
      </c>
      <c r="W14" s="19"/>
      <c r="AA14" s="348"/>
      <c r="AB14" s="344"/>
      <c r="AC14" s="344"/>
      <c r="AD14" s="344"/>
      <c r="AE14" s="344"/>
      <c r="AF14" s="344"/>
      <c r="AG14" s="344"/>
      <c r="AH14" s="344"/>
      <c r="AI14" s="344"/>
      <c r="AJ14" s="349"/>
      <c r="AL14" s="348"/>
      <c r="AM14" s="344"/>
      <c r="AN14" s="344"/>
      <c r="AO14" s="344"/>
      <c r="AP14" s="344"/>
      <c r="AQ14" s="344"/>
      <c r="AR14" s="344"/>
      <c r="AS14" s="344"/>
      <c r="AT14" s="345"/>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45</v>
      </c>
      <c r="G15" s="182">
        <f t="shared" si="0"/>
        <v>0</v>
      </c>
      <c r="H15" s="182">
        <f t="shared" si="0"/>
        <v>145</v>
      </c>
      <c r="I15" s="230">
        <f t="shared" ref="I15:I18" si="1">J15-SUM(C15:H15)</f>
        <v>0</v>
      </c>
      <c r="J15" s="182">
        <f>AI102</f>
        <v>190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130</v>
      </c>
      <c r="I16" s="230">
        <f t="shared" si="1"/>
        <v>0</v>
      </c>
      <c r="J16" s="182">
        <f>AI103</f>
        <v>130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15</v>
      </c>
      <c r="E17" s="182">
        <f t="shared" si="0"/>
        <v>0</v>
      </c>
      <c r="F17" s="182">
        <f t="shared" si="0"/>
        <v>0</v>
      </c>
      <c r="G17" s="182">
        <f t="shared" si="0"/>
        <v>0</v>
      </c>
      <c r="H17" s="182">
        <f t="shared" si="0"/>
        <v>150</v>
      </c>
      <c r="I17" s="230">
        <f t="shared" si="1"/>
        <v>0</v>
      </c>
      <c r="J17" s="182">
        <f>AI104</f>
        <v>165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85</v>
      </c>
      <c r="E18" s="207">
        <f t="shared" si="0"/>
        <v>15</v>
      </c>
      <c r="F18" s="207">
        <f t="shared" si="0"/>
        <v>75</v>
      </c>
      <c r="G18" s="207">
        <f t="shared" si="0"/>
        <v>0</v>
      </c>
      <c r="H18" s="207">
        <f t="shared" si="0"/>
        <v>1500</v>
      </c>
      <c r="I18" s="231">
        <f t="shared" si="1"/>
        <v>15</v>
      </c>
      <c r="J18" s="207">
        <f>AI105</f>
        <v>1690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100</v>
      </c>
      <c r="E19" s="228">
        <f t="shared" si="2"/>
        <v>15</v>
      </c>
      <c r="F19" s="228">
        <f t="shared" si="2"/>
        <v>165</v>
      </c>
      <c r="G19" s="228">
        <f t="shared" si="2"/>
        <v>0</v>
      </c>
      <c r="H19" s="228">
        <f t="shared" si="2"/>
        <v>2310</v>
      </c>
      <c r="I19" s="232">
        <f t="shared" si="2"/>
        <v>15</v>
      </c>
      <c r="J19" s="228">
        <f>AI49+AI94</f>
        <v>2600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0.10465116279069768</v>
      </c>
      <c r="G22" s="180">
        <f t="shared" si="3"/>
        <v>0</v>
      </c>
      <c r="H22" s="180">
        <f t="shared" si="3"/>
        <v>0.89534883720930236</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0.23684210526315788</v>
      </c>
      <c r="G23" s="180">
        <f t="shared" si="3"/>
        <v>0</v>
      </c>
      <c r="H23" s="180">
        <f t="shared" si="3"/>
        <v>0.76315789473684215</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9.0909090909090912E-2</v>
      </c>
      <c r="E25" s="180">
        <f t="shared" si="3"/>
        <v>0</v>
      </c>
      <c r="F25" s="180">
        <f t="shared" si="3"/>
        <v>0</v>
      </c>
      <c r="G25" s="180">
        <f t="shared" si="3"/>
        <v>0</v>
      </c>
      <c r="H25" s="180">
        <f t="shared" si="3"/>
        <v>0.90909090909090906</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5.0295857988165681E-2</v>
      </c>
      <c r="E26" s="181">
        <f t="shared" si="3"/>
        <v>8.8757396449704144E-3</v>
      </c>
      <c r="F26" s="181">
        <f t="shared" si="3"/>
        <v>4.4378698224852069E-2</v>
      </c>
      <c r="G26" s="181">
        <f t="shared" si="3"/>
        <v>0</v>
      </c>
      <c r="H26" s="181">
        <f t="shared" si="3"/>
        <v>0.8875739644970414</v>
      </c>
      <c r="I26" s="181">
        <f t="shared" si="3"/>
        <v>8.8757396449704144E-3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1" t="str">
        <f>"Chart 13. "&amp;City_label&amp;" number of households by income category and race, 2019"</f>
        <v>Chart 13. North Bend number of households by income category and race, 2019</v>
      </c>
      <c r="C31" s="361"/>
      <c r="D31" s="361"/>
      <c r="E31" s="361"/>
      <c r="F31" s="361"/>
      <c r="G31" s="361"/>
      <c r="H31" s="361"/>
      <c r="I31" s="361"/>
      <c r="J31" s="361"/>
      <c r="W31" s="19"/>
      <c r="BF31" s="19"/>
      <c r="BG31" s="19"/>
      <c r="BH31" s="19"/>
    </row>
    <row r="32" spans="2:60" ht="17.25" customHeight="1">
      <c r="B32" s="361"/>
      <c r="C32" s="361"/>
      <c r="D32" s="361"/>
      <c r="E32" s="361"/>
      <c r="F32" s="361"/>
      <c r="G32" s="361"/>
      <c r="H32" s="361"/>
      <c r="I32" s="361"/>
      <c r="J32" s="361"/>
      <c r="AJ32" s="85" t="s">
        <v>559</v>
      </c>
      <c r="AU32" s="85" t="s">
        <v>200</v>
      </c>
      <c r="BF32" s="19"/>
      <c r="BG32" s="19"/>
      <c r="BH32" s="19"/>
    </row>
    <row r="33" spans="27:60" ht="17.25" customHeight="1">
      <c r="AA33" s="60" t="s">
        <v>427</v>
      </c>
      <c r="AB33" s="174">
        <v>0</v>
      </c>
      <c r="AC33" s="174">
        <v>0</v>
      </c>
      <c r="AD33" s="174">
        <v>0</v>
      </c>
      <c r="AE33" s="174">
        <v>0</v>
      </c>
      <c r="AF33" s="174">
        <v>0</v>
      </c>
      <c r="AG33" s="174">
        <v>115</v>
      </c>
      <c r="AH33" s="174"/>
      <c r="AI33" s="174">
        <v>115</v>
      </c>
      <c r="AJ33" s="86">
        <f>(SUM(AB33:AH33))-AI33</f>
        <v>0</v>
      </c>
      <c r="AL33" s="31" t="s">
        <v>427</v>
      </c>
      <c r="AM33" s="174">
        <v>0</v>
      </c>
      <c r="AN33" s="174">
        <v>0</v>
      </c>
      <c r="AO33" s="174">
        <v>0</v>
      </c>
      <c r="AP33" s="174">
        <v>0</v>
      </c>
      <c r="AQ33" s="174">
        <v>0</v>
      </c>
      <c r="AR33" s="174">
        <v>155</v>
      </c>
      <c r="AS33" s="174">
        <v>0</v>
      </c>
      <c r="AT33" s="174">
        <v>155</v>
      </c>
      <c r="AU33" s="86">
        <f t="shared" ref="AU33:AU47" si="4">(SUM(AM33:AS33))-AT33</f>
        <v>0</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15</v>
      </c>
      <c r="AH36" s="174"/>
      <c r="AI36" s="174">
        <v>15</v>
      </c>
      <c r="AJ36" s="86">
        <f>(SUM(AB36:AH36))-AI36</f>
        <v>0</v>
      </c>
      <c r="AL36" s="60" t="s">
        <v>458</v>
      </c>
      <c r="AM36" s="174">
        <v>0</v>
      </c>
      <c r="AN36" s="174">
        <v>0</v>
      </c>
      <c r="AO36" s="174">
        <v>0</v>
      </c>
      <c r="AP36" s="174">
        <v>0</v>
      </c>
      <c r="AQ36" s="174">
        <v>0</v>
      </c>
      <c r="AR36" s="174">
        <v>35</v>
      </c>
      <c r="AS36" s="174">
        <v>0</v>
      </c>
      <c r="AT36" s="174">
        <v>35</v>
      </c>
      <c r="AU36" s="86">
        <f t="shared" si="4"/>
        <v>0</v>
      </c>
      <c r="AV36" s="86"/>
      <c r="BC36" s="25"/>
      <c r="BD36" s="19"/>
      <c r="BE36" s="19"/>
      <c r="BF36" s="19"/>
      <c r="BG36" s="19"/>
      <c r="BH36" s="19"/>
    </row>
    <row r="37" spans="27:60" ht="13.9" customHeight="1">
      <c r="AB37" s="174">
        <v>45</v>
      </c>
      <c r="AC37" s="174">
        <v>0</v>
      </c>
      <c r="AD37" s="174">
        <v>0</v>
      </c>
      <c r="AE37" s="174">
        <v>0</v>
      </c>
      <c r="AF37" s="174">
        <v>0</v>
      </c>
      <c r="AG37" s="174">
        <v>0</v>
      </c>
      <c r="AH37" s="174"/>
      <c r="AI37" s="174">
        <v>45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15</v>
      </c>
      <c r="AH39" s="174"/>
      <c r="AI39" s="174">
        <v>15</v>
      </c>
      <c r="AJ39" s="86">
        <f>(SUM(AB39:AH39))-AI39</f>
        <v>0</v>
      </c>
      <c r="AL39" s="60" t="s">
        <v>486</v>
      </c>
      <c r="AM39" s="174">
        <v>0</v>
      </c>
      <c r="AN39" s="174">
        <v>0</v>
      </c>
      <c r="AO39" s="174">
        <v>0</v>
      </c>
      <c r="AP39" s="174">
        <v>0</v>
      </c>
      <c r="AQ39" s="174">
        <v>0</v>
      </c>
      <c r="AR39" s="174">
        <v>60</v>
      </c>
      <c r="AS39" s="174">
        <v>0</v>
      </c>
      <c r="AT39" s="174">
        <v>60</v>
      </c>
      <c r="AU39" s="86">
        <f t="shared" si="4"/>
        <v>0</v>
      </c>
      <c r="AV39" s="86"/>
      <c r="BC39" s="25"/>
      <c r="BD39" s="19"/>
      <c r="BE39" s="19"/>
      <c r="BF39" s="19"/>
      <c r="BG39" s="19"/>
      <c r="BH39" s="19"/>
    </row>
    <row r="40" spans="27:60" ht="13.9" customHeight="1">
      <c r="AB40" s="174">
        <v>0</v>
      </c>
      <c r="AC40" s="174">
        <v>0</v>
      </c>
      <c r="AD40" s="174">
        <v>0</v>
      </c>
      <c r="AE40" s="174">
        <v>0</v>
      </c>
      <c r="AF40" s="174">
        <v>0</v>
      </c>
      <c r="AG40" s="174">
        <v>70</v>
      </c>
      <c r="AH40" s="174"/>
      <c r="AI40" s="174">
        <v>70</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35</v>
      </c>
      <c r="AH42" s="174"/>
      <c r="AI42" s="174">
        <v>35</v>
      </c>
      <c r="AJ42" s="86">
        <f>(SUM(AB42:AH42))-AI42</f>
        <v>0</v>
      </c>
      <c r="AL42" s="60" t="s">
        <v>511</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15</v>
      </c>
      <c r="AE43" s="174">
        <v>0</v>
      </c>
      <c r="AF43" s="174">
        <v>0</v>
      </c>
      <c r="AG43" s="174">
        <v>65</v>
      </c>
      <c r="AH43" s="174"/>
      <c r="AI43" s="174">
        <v>80</v>
      </c>
      <c r="AJ43" s="86">
        <f>(SUM(AB43:AH43))-AI43</f>
        <v>0</v>
      </c>
      <c r="AM43" s="174">
        <v>0</v>
      </c>
      <c r="AN43" s="174">
        <v>0</v>
      </c>
      <c r="AO43" s="174">
        <v>0</v>
      </c>
      <c r="AP43" s="174">
        <v>0</v>
      </c>
      <c r="AQ43" s="174">
        <v>0</v>
      </c>
      <c r="AR43" s="174">
        <v>65</v>
      </c>
      <c r="AS43" s="174">
        <v>0</v>
      </c>
      <c r="AT43" s="174">
        <v>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30</v>
      </c>
      <c r="AE45" s="174">
        <v>0</v>
      </c>
      <c r="AF45" s="174">
        <v>0</v>
      </c>
      <c r="AG45" s="174">
        <v>95</v>
      </c>
      <c r="AH45" s="174"/>
      <c r="AI45" s="174">
        <v>125</v>
      </c>
      <c r="AJ45" s="86">
        <f>(SUM(AB45:AH45))-AI45</f>
        <v>0</v>
      </c>
      <c r="AL45" s="60" t="s">
        <v>537</v>
      </c>
      <c r="AM45" s="174">
        <v>0</v>
      </c>
      <c r="AN45" s="174">
        <v>0</v>
      </c>
      <c r="AO45" s="174">
        <v>0</v>
      </c>
      <c r="AP45" s="174">
        <v>0</v>
      </c>
      <c r="AQ45" s="174">
        <v>0</v>
      </c>
      <c r="AR45" s="174">
        <v>160</v>
      </c>
      <c r="AS45" s="174">
        <v>0</v>
      </c>
      <c r="AT45" s="174">
        <v>160</v>
      </c>
      <c r="AU45" s="86">
        <f t="shared" si="4"/>
        <v>0</v>
      </c>
      <c r="AV45" s="86"/>
      <c r="AZ45" s="19"/>
      <c r="BA45" s="19"/>
      <c r="BB45" s="19"/>
      <c r="BC45" s="19"/>
      <c r="BD45" s="19"/>
    </row>
    <row r="46" spans="27:60" ht="18" customHeight="1">
      <c r="AA46" s="60"/>
      <c r="AB46" s="174">
        <v>75</v>
      </c>
      <c r="AC46" s="174">
        <v>15</v>
      </c>
      <c r="AD46" s="174">
        <v>55</v>
      </c>
      <c r="AE46" s="174">
        <v>0</v>
      </c>
      <c r="AF46" s="174">
        <v>0</v>
      </c>
      <c r="AG46" s="174">
        <v>1165</v>
      </c>
      <c r="AH46" s="174"/>
      <c r="AI46" s="174">
        <v>1325</v>
      </c>
      <c r="AJ46" s="86">
        <f>(SUM(AB46:AH46))-AI46</f>
        <v>-15</v>
      </c>
      <c r="AM46" s="174">
        <v>20</v>
      </c>
      <c r="AN46" s="174">
        <v>0</v>
      </c>
      <c r="AO46" s="174">
        <v>0</v>
      </c>
      <c r="AP46" s="174">
        <v>0</v>
      </c>
      <c r="AQ46" s="174">
        <v>0</v>
      </c>
      <c r="AR46" s="174">
        <v>825</v>
      </c>
      <c r="AS46" s="174">
        <v>30</v>
      </c>
      <c r="AT46" s="174">
        <v>880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120</v>
      </c>
      <c r="AC48" s="86">
        <f t="shared" ref="AC48:AH48" si="5">SUM(AC33:AC47)</f>
        <v>15</v>
      </c>
      <c r="AD48" s="86">
        <f t="shared" si="5"/>
        <v>100</v>
      </c>
      <c r="AE48" s="86">
        <f t="shared" si="5"/>
        <v>0</v>
      </c>
      <c r="AF48" s="86">
        <f t="shared" si="5"/>
        <v>0</v>
      </c>
      <c r="AG48" s="86">
        <f t="shared" si="5"/>
        <v>1605</v>
      </c>
      <c r="AH48" s="86">
        <f t="shared" si="5"/>
        <v>0</v>
      </c>
      <c r="AI48" s="86">
        <f t="shared" ref="AI48" si="6">SUM(AI33:AI47)</f>
        <v>1855</v>
      </c>
      <c r="AJ48" s="86"/>
      <c r="AZ48" s="19"/>
      <c r="BA48" s="19"/>
      <c r="BB48" s="19"/>
      <c r="BC48" s="19"/>
      <c r="BD48" s="19"/>
    </row>
    <row r="49" spans="2:56" ht="13.9" customHeight="1">
      <c r="AA49" s="171" t="s">
        <v>561</v>
      </c>
      <c r="AI49" s="227">
        <v>1850</v>
      </c>
      <c r="AJ49" s="86">
        <f>SUM(AJ33:AJ46)</f>
        <v>-15</v>
      </c>
      <c r="AL49" s="171" t="s">
        <v>562</v>
      </c>
      <c r="AT49" s="174">
        <v>1425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145</v>
      </c>
      <c r="AH51" s="86">
        <f t="shared" si="7"/>
        <v>0</v>
      </c>
      <c r="AI51" s="86">
        <f t="shared" si="7"/>
        <v>145</v>
      </c>
      <c r="AL51" s="60" t="s">
        <v>564</v>
      </c>
      <c r="AM51" s="86">
        <f>SUM(AM33:AM35)</f>
        <v>0</v>
      </c>
      <c r="AN51" s="86">
        <f t="shared" ref="AN51:AT51" si="8">SUM(AN33:AN35)</f>
        <v>0</v>
      </c>
      <c r="AO51" s="86">
        <f t="shared" si="8"/>
        <v>0</v>
      </c>
      <c r="AP51" s="86">
        <f t="shared" si="8"/>
        <v>0</v>
      </c>
      <c r="AQ51" s="86">
        <f t="shared" si="8"/>
        <v>0</v>
      </c>
      <c r="AR51" s="86">
        <f t="shared" si="8"/>
        <v>180</v>
      </c>
      <c r="AS51" s="5">
        <f t="shared" si="8"/>
        <v>0</v>
      </c>
      <c r="AT51" s="86">
        <f t="shared" si="8"/>
        <v>180</v>
      </c>
      <c r="AZ51" s="19"/>
      <c r="BA51" s="19"/>
      <c r="BB51" s="19"/>
      <c r="BC51" s="19"/>
      <c r="BD51" s="19"/>
    </row>
    <row r="52" spans="2:56" ht="16.5" customHeight="1">
      <c r="AA52" s="60" t="s">
        <v>458</v>
      </c>
      <c r="AB52" s="86">
        <f>SUM(AB36:AB38)</f>
        <v>45</v>
      </c>
      <c r="AC52" s="86">
        <f t="shared" ref="AC52:AI52" si="9">SUM(AC36:AC38)</f>
        <v>0</v>
      </c>
      <c r="AD52" s="86">
        <f t="shared" si="9"/>
        <v>0</v>
      </c>
      <c r="AE52" s="86">
        <f t="shared" si="9"/>
        <v>0</v>
      </c>
      <c r="AF52" s="86">
        <f t="shared" si="9"/>
        <v>0</v>
      </c>
      <c r="AG52" s="86">
        <f t="shared" si="9"/>
        <v>15</v>
      </c>
      <c r="AH52" s="86">
        <f t="shared" si="9"/>
        <v>0</v>
      </c>
      <c r="AI52" s="86">
        <f t="shared" si="9"/>
        <v>60</v>
      </c>
      <c r="AL52" s="60" t="s">
        <v>458</v>
      </c>
      <c r="AM52" s="86">
        <f t="shared" ref="AM52:AR52" si="10">SUM(AM36:AM38)</f>
        <v>0</v>
      </c>
      <c r="AN52" s="86">
        <f t="shared" si="10"/>
        <v>0</v>
      </c>
      <c r="AO52" s="86">
        <f t="shared" si="10"/>
        <v>0</v>
      </c>
      <c r="AP52" s="86">
        <f t="shared" si="10"/>
        <v>0</v>
      </c>
      <c r="AQ52" s="86">
        <f t="shared" si="10"/>
        <v>0</v>
      </c>
      <c r="AR52" s="86">
        <f t="shared" si="10"/>
        <v>50</v>
      </c>
      <c r="AS52" s="5">
        <f>SUM(AS36:AS38)</f>
        <v>0</v>
      </c>
      <c r="AT52" s="86">
        <f>SUM(AT36:AT38)</f>
        <v>50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0</v>
      </c>
      <c r="AG53" s="86">
        <f t="shared" si="11"/>
        <v>85</v>
      </c>
      <c r="AH53" s="86">
        <f t="shared" si="11"/>
        <v>0</v>
      </c>
      <c r="AI53" s="86">
        <f t="shared" si="11"/>
        <v>85</v>
      </c>
      <c r="AL53" s="60" t="s">
        <v>486</v>
      </c>
      <c r="AM53" s="86">
        <f t="shared" ref="AM53:AR53" si="12">SUM(AM39:AM41)</f>
        <v>0</v>
      </c>
      <c r="AN53" s="86">
        <f t="shared" si="12"/>
        <v>0</v>
      </c>
      <c r="AO53" s="86">
        <f t="shared" si="12"/>
        <v>0</v>
      </c>
      <c r="AP53" s="86">
        <f t="shared" si="12"/>
        <v>0</v>
      </c>
      <c r="AQ53" s="86">
        <f t="shared" si="12"/>
        <v>0</v>
      </c>
      <c r="AR53" s="86">
        <f t="shared" si="12"/>
        <v>80</v>
      </c>
      <c r="AS53" s="5">
        <f>SUM(AS39:AS41)</f>
        <v>0</v>
      </c>
      <c r="AT53" s="86">
        <f>SUM(AT39:AT41)</f>
        <v>80</v>
      </c>
      <c r="AZ53" s="19"/>
      <c r="BA53" s="19"/>
      <c r="BB53" s="19"/>
      <c r="BC53" s="19"/>
      <c r="BD53" s="19"/>
    </row>
    <row r="54" spans="2:56" ht="16.5" customHeight="1">
      <c r="AA54" s="60" t="s">
        <v>511</v>
      </c>
      <c r="AB54" s="86">
        <f>SUM(AB42:AB44)</f>
        <v>0</v>
      </c>
      <c r="AC54" s="86">
        <f t="shared" ref="AC54:AI54" si="13">SUM(AC42:AC44)</f>
        <v>0</v>
      </c>
      <c r="AD54" s="86">
        <f t="shared" si="13"/>
        <v>15</v>
      </c>
      <c r="AE54" s="86">
        <f t="shared" si="13"/>
        <v>0</v>
      </c>
      <c r="AF54" s="86">
        <f t="shared" si="13"/>
        <v>0</v>
      </c>
      <c r="AG54" s="86">
        <f t="shared" si="13"/>
        <v>100</v>
      </c>
      <c r="AH54" s="86">
        <f t="shared" si="13"/>
        <v>0</v>
      </c>
      <c r="AI54" s="86">
        <f t="shared" si="13"/>
        <v>115</v>
      </c>
      <c r="AL54" s="60" t="s">
        <v>511</v>
      </c>
      <c r="AM54" s="86">
        <f t="shared" ref="AM54:AR54" si="14">SUM(AM42:AM44)</f>
        <v>0</v>
      </c>
      <c r="AN54" s="86">
        <f t="shared" si="14"/>
        <v>0</v>
      </c>
      <c r="AO54" s="86">
        <f t="shared" si="14"/>
        <v>0</v>
      </c>
      <c r="AP54" s="86">
        <f t="shared" si="14"/>
        <v>0</v>
      </c>
      <c r="AQ54" s="86">
        <f t="shared" si="14"/>
        <v>0</v>
      </c>
      <c r="AR54" s="86">
        <f t="shared" si="14"/>
        <v>75</v>
      </c>
      <c r="AS54" s="5">
        <f>SUM(AS42:AS44)</f>
        <v>0</v>
      </c>
      <c r="AT54" s="86">
        <f>SUM(AT42:AT44)</f>
        <v>75</v>
      </c>
      <c r="AZ54" s="19"/>
      <c r="BA54" s="19"/>
      <c r="BB54" s="19"/>
      <c r="BC54" s="19"/>
      <c r="BD54" s="19"/>
    </row>
    <row r="55" spans="2:56" ht="16.5" customHeight="1">
      <c r="B55" s="361" t="str">
        <f>"Chart 13a. "&amp;City_label&amp;" number of households by income category and race, 2019"</f>
        <v>Chart 13a. North Bend number of households by income category and race, 2019</v>
      </c>
      <c r="C55" s="361"/>
      <c r="D55" s="361"/>
      <c r="E55" s="361"/>
      <c r="F55" s="361"/>
      <c r="G55" s="361"/>
      <c r="H55" s="361"/>
      <c r="I55" s="361"/>
      <c r="U55" s="19"/>
      <c r="W55" s="25"/>
      <c r="X55" s="19"/>
      <c r="AA55" s="60" t="s">
        <v>537</v>
      </c>
      <c r="AB55" s="86">
        <f>SUM(AB45:AB47)</f>
        <v>75</v>
      </c>
      <c r="AC55" s="86">
        <f t="shared" ref="AC55:AI55" si="15">SUM(AC45:AC47)</f>
        <v>15</v>
      </c>
      <c r="AD55" s="86">
        <f t="shared" si="15"/>
        <v>85</v>
      </c>
      <c r="AE55" s="86">
        <f t="shared" si="15"/>
        <v>0</v>
      </c>
      <c r="AF55" s="86">
        <f t="shared" si="15"/>
        <v>0</v>
      </c>
      <c r="AG55" s="86">
        <f t="shared" si="15"/>
        <v>1260</v>
      </c>
      <c r="AH55" s="86">
        <f t="shared" si="15"/>
        <v>0</v>
      </c>
      <c r="AI55" s="86">
        <f t="shared" si="15"/>
        <v>1450</v>
      </c>
      <c r="AL55" s="60" t="s">
        <v>537</v>
      </c>
      <c r="AM55" s="86">
        <f t="shared" ref="AM55:AR55" si="16">SUM(AM45:AM47)</f>
        <v>20</v>
      </c>
      <c r="AN55" s="86">
        <f t="shared" si="16"/>
        <v>0</v>
      </c>
      <c r="AO55" s="86">
        <f t="shared" si="16"/>
        <v>0</v>
      </c>
      <c r="AP55" s="86">
        <f t="shared" si="16"/>
        <v>0</v>
      </c>
      <c r="AQ55" s="86">
        <f t="shared" si="16"/>
        <v>0</v>
      </c>
      <c r="AR55" s="86">
        <f t="shared" si="16"/>
        <v>985</v>
      </c>
      <c r="AS55" s="5">
        <f>SUM(AS45:AS47)</f>
        <v>30</v>
      </c>
      <c r="AT55" s="86">
        <f>SUM(AT45:AT47)</f>
        <v>1040</v>
      </c>
      <c r="AZ55" s="19"/>
      <c r="BA55" s="19"/>
      <c r="BB55" s="19"/>
      <c r="BC55" s="19"/>
      <c r="BD55" s="19"/>
    </row>
    <row r="56" spans="2:56" ht="16.5" customHeight="1">
      <c r="B56" s="361"/>
      <c r="C56" s="361"/>
      <c r="D56" s="361"/>
      <c r="E56" s="361"/>
      <c r="F56" s="361"/>
      <c r="G56" s="361"/>
      <c r="H56" s="361"/>
      <c r="I56" s="361"/>
      <c r="U56" s="19"/>
      <c r="W56" s="25"/>
      <c r="X56" s="19"/>
      <c r="AA56" s="163" t="s">
        <v>566</v>
      </c>
      <c r="AB56" s="128">
        <f>SUM(AB51:AB55)</f>
        <v>120</v>
      </c>
      <c r="AC56" s="128">
        <f t="shared" ref="AC56:AI56" si="17">SUM(AC51:AC55)</f>
        <v>15</v>
      </c>
      <c r="AD56" s="128">
        <f t="shared" si="17"/>
        <v>100</v>
      </c>
      <c r="AE56" s="128">
        <f t="shared" si="17"/>
        <v>0</v>
      </c>
      <c r="AF56" s="128">
        <f t="shared" si="17"/>
        <v>0</v>
      </c>
      <c r="AG56" s="128">
        <f t="shared" si="17"/>
        <v>1605</v>
      </c>
      <c r="AH56" s="128">
        <f t="shared" si="17"/>
        <v>0</v>
      </c>
      <c r="AI56" s="128">
        <f t="shared" si="17"/>
        <v>1855</v>
      </c>
      <c r="AJ56" s="86"/>
      <c r="AL56" s="163" t="s">
        <v>566</v>
      </c>
      <c r="AM56" s="128">
        <f t="shared" ref="AM56:AT56" si="18">SUM(AM51:AM55)</f>
        <v>20</v>
      </c>
      <c r="AN56" s="128">
        <f t="shared" si="18"/>
        <v>0</v>
      </c>
      <c r="AO56" s="128">
        <f t="shared" si="18"/>
        <v>0</v>
      </c>
      <c r="AP56" s="128">
        <f t="shared" si="18"/>
        <v>0</v>
      </c>
      <c r="AQ56" s="128">
        <f t="shared" si="18"/>
        <v>0</v>
      </c>
      <c r="AR56" s="128">
        <f t="shared" si="18"/>
        <v>1370</v>
      </c>
      <c r="AS56" s="246">
        <f>SUM(AS51:AS55)</f>
        <v>30</v>
      </c>
      <c r="AT56" s="128">
        <f t="shared" si="18"/>
        <v>1425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9" t="s">
        <v>158</v>
      </c>
      <c r="AC61" s="349" t="s">
        <v>140</v>
      </c>
      <c r="AD61" s="349" t="s">
        <v>146</v>
      </c>
      <c r="AE61" s="349" t="s">
        <v>188</v>
      </c>
      <c r="AF61" s="349" t="s">
        <v>187</v>
      </c>
      <c r="AG61" s="349" t="s">
        <v>137</v>
      </c>
      <c r="AH61" s="178"/>
      <c r="AI61" s="349" t="s">
        <v>190</v>
      </c>
      <c r="AM61" s="349" t="s">
        <v>158</v>
      </c>
      <c r="AN61" s="349" t="s">
        <v>140</v>
      </c>
      <c r="AO61" s="349" t="s">
        <v>146</v>
      </c>
      <c r="AP61" s="349" t="s">
        <v>188</v>
      </c>
      <c r="AQ61" s="349" t="s">
        <v>187</v>
      </c>
      <c r="AR61" s="349" t="s">
        <v>137</v>
      </c>
      <c r="AS61" s="349" t="s">
        <v>425</v>
      </c>
      <c r="AT61" s="349" t="s">
        <v>190</v>
      </c>
      <c r="AZ61" s="19"/>
      <c r="BA61" s="19"/>
      <c r="BB61" s="19"/>
      <c r="BC61" s="19"/>
      <c r="BD61" s="19"/>
    </row>
    <row r="62" spans="2:56" ht="18.75" customHeight="1">
      <c r="U62" s="19"/>
      <c r="W62" s="25"/>
      <c r="X62" s="19"/>
      <c r="AB62" s="349"/>
      <c r="AC62" s="349"/>
      <c r="AD62" s="349"/>
      <c r="AE62" s="349"/>
      <c r="AF62" s="349"/>
      <c r="AG62" s="349"/>
      <c r="AH62" s="178"/>
      <c r="AI62" s="349"/>
      <c r="AM62" s="349"/>
      <c r="AN62" s="349"/>
      <c r="AO62" s="349"/>
      <c r="AP62" s="349"/>
      <c r="AQ62" s="349"/>
      <c r="AR62" s="349"/>
      <c r="AS62" s="349"/>
      <c r="AT62" s="349"/>
      <c r="AZ62" s="19"/>
      <c r="BA62" s="19"/>
      <c r="BB62" s="19"/>
      <c r="BC62" s="19"/>
      <c r="BD62" s="19"/>
    </row>
    <row r="63" spans="2:56" ht="16.5" customHeight="1">
      <c r="U63" s="19"/>
      <c r="W63" s="25"/>
      <c r="X63" s="19"/>
      <c r="AA63" s="61" t="s">
        <v>424</v>
      </c>
      <c r="AB63" s="349"/>
      <c r="AC63" s="349"/>
      <c r="AD63" s="349"/>
      <c r="AE63" s="349"/>
      <c r="AF63" s="349"/>
      <c r="AG63" s="349"/>
      <c r="AH63" s="178"/>
      <c r="AI63" s="349"/>
      <c r="AL63" s="61" t="s">
        <v>424</v>
      </c>
      <c r="AM63" s="349"/>
      <c r="AN63" s="349"/>
      <c r="AO63" s="349"/>
      <c r="AP63" s="349"/>
      <c r="AQ63" s="349"/>
      <c r="AR63" s="349"/>
      <c r="AS63" s="349"/>
      <c r="AT63" s="349"/>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45</v>
      </c>
      <c r="AC76" s="174">
        <v>0</v>
      </c>
      <c r="AD76" s="174">
        <v>0</v>
      </c>
      <c r="AE76" s="174">
        <v>0</v>
      </c>
      <c r="AF76" s="174">
        <v>0</v>
      </c>
      <c r="AG76" s="174">
        <v>195</v>
      </c>
      <c r="AH76" s="174"/>
      <c r="AI76" s="174">
        <v>240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45</v>
      </c>
      <c r="AH77" s="174"/>
      <c r="AI77" s="174">
        <v>45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1" t="str">
        <f>"Chart 14. "&amp;City_label&amp;" distribution of households by income and race or ethnicity, 2019"</f>
        <v>Chart 14. North Bend distribution of households by income and race or ethnicity, 2019</v>
      </c>
      <c r="C78" s="361"/>
      <c r="D78" s="361"/>
      <c r="E78" s="361"/>
      <c r="F78" s="361"/>
      <c r="G78" s="361"/>
      <c r="H78" s="361"/>
      <c r="I78" s="361"/>
      <c r="J78" s="361"/>
      <c r="U78" s="19"/>
      <c r="W78" s="25"/>
      <c r="X78" s="19"/>
      <c r="AA78" s="60" t="s">
        <v>458</v>
      </c>
      <c r="AB78" s="174">
        <v>0</v>
      </c>
      <c r="AC78" s="174">
        <v>0</v>
      </c>
      <c r="AD78" s="174">
        <v>0</v>
      </c>
      <c r="AE78" s="174">
        <v>0</v>
      </c>
      <c r="AF78" s="174">
        <v>0</v>
      </c>
      <c r="AG78" s="174">
        <v>115</v>
      </c>
      <c r="AH78" s="174"/>
      <c r="AI78" s="174">
        <v>115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1"/>
      <c r="C79" s="361"/>
      <c r="D79" s="361"/>
      <c r="E79" s="361"/>
      <c r="F79" s="361"/>
      <c r="G79" s="361"/>
      <c r="H79" s="361"/>
      <c r="I79" s="361"/>
      <c r="J79" s="361"/>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30</v>
      </c>
      <c r="AH80" s="174"/>
      <c r="AI80" s="174">
        <v>30</v>
      </c>
      <c r="AJ80" s="86">
        <f t="shared" si="19"/>
        <v>0</v>
      </c>
      <c r="AL80" s="60" t="s">
        <v>427</v>
      </c>
      <c r="AM80" s="174">
        <v>145</v>
      </c>
      <c r="AN80" s="174">
        <v>0</v>
      </c>
      <c r="AO80" s="174">
        <v>0</v>
      </c>
      <c r="AP80" s="174">
        <v>0</v>
      </c>
      <c r="AQ80" s="174">
        <v>0</v>
      </c>
      <c r="AR80" s="174">
        <v>80</v>
      </c>
      <c r="AS80" s="174">
        <v>0</v>
      </c>
      <c r="AT80" s="174">
        <v>225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45</v>
      </c>
      <c r="AS81" s="174">
        <v>0</v>
      </c>
      <c r="AT81" s="174">
        <v>75</v>
      </c>
      <c r="AU81" s="86">
        <f t="shared" si="20"/>
        <v>-30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15</v>
      </c>
      <c r="AS82" s="174">
        <v>0</v>
      </c>
      <c r="AT82" s="174">
        <v>15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30</v>
      </c>
      <c r="AH83" s="174"/>
      <c r="AI83" s="174">
        <v>30</v>
      </c>
      <c r="AJ83" s="86">
        <f t="shared" si="19"/>
        <v>0</v>
      </c>
      <c r="AL83" s="60" t="s">
        <v>458</v>
      </c>
      <c r="AM83" s="174">
        <v>0</v>
      </c>
      <c r="AN83" s="174">
        <v>15</v>
      </c>
      <c r="AO83" s="174">
        <v>0</v>
      </c>
      <c r="AP83" s="174">
        <v>0</v>
      </c>
      <c r="AQ83" s="174">
        <v>0</v>
      </c>
      <c r="AR83" s="174">
        <v>40</v>
      </c>
      <c r="AS83" s="174">
        <v>0</v>
      </c>
      <c r="AT83" s="174">
        <v>55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15</v>
      </c>
      <c r="AH84" s="174"/>
      <c r="AI84" s="174">
        <v>15</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225</v>
      </c>
      <c r="AH85" s="174"/>
      <c r="AI85" s="174">
        <v>225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65</v>
      </c>
      <c r="AS86" s="174">
        <v>0</v>
      </c>
      <c r="AT86" s="174">
        <v>65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750</v>
      </c>
      <c r="AJ87" s="86">
        <f>SUM(AJ76:AJ85)</f>
        <v>0</v>
      </c>
      <c r="AM87" s="174">
        <v>0</v>
      </c>
      <c r="AN87" s="174">
        <v>0</v>
      </c>
      <c r="AO87" s="174">
        <v>0</v>
      </c>
      <c r="AP87" s="174">
        <v>0</v>
      </c>
      <c r="AQ87" s="174">
        <v>0</v>
      </c>
      <c r="AR87" s="174">
        <v>125</v>
      </c>
      <c r="AS87" s="174">
        <v>0</v>
      </c>
      <c r="AT87" s="174">
        <v>125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45</v>
      </c>
      <c r="AC89" s="86">
        <f t="shared" si="21"/>
        <v>0</v>
      </c>
      <c r="AD89" s="86">
        <f t="shared" si="21"/>
        <v>0</v>
      </c>
      <c r="AE89" s="86">
        <f t="shared" si="21"/>
        <v>0</v>
      </c>
      <c r="AF89" s="86">
        <f t="shared" si="21"/>
        <v>0</v>
      </c>
      <c r="AG89" s="86">
        <f t="shared" si="21"/>
        <v>240</v>
      </c>
      <c r="AH89" s="86"/>
      <c r="AI89" s="86">
        <f>SUM(AI76:AI77)</f>
        <v>285</v>
      </c>
      <c r="AL89" s="60" t="s">
        <v>511</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130</v>
      </c>
      <c r="AH90" s="86"/>
      <c r="AI90" s="86">
        <f>SUM(AI78:AI79)</f>
        <v>130</v>
      </c>
      <c r="AM90" s="174">
        <v>0</v>
      </c>
      <c r="AN90" s="174">
        <v>0</v>
      </c>
      <c r="AO90" s="174">
        <v>0</v>
      </c>
      <c r="AP90" s="174">
        <v>0</v>
      </c>
      <c r="AQ90" s="174">
        <v>0</v>
      </c>
      <c r="AR90" s="174">
        <v>35</v>
      </c>
      <c r="AS90" s="174">
        <v>0</v>
      </c>
      <c r="AT90" s="174">
        <v>35</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45</v>
      </c>
      <c r="AH91" s="86"/>
      <c r="AI91" s="86">
        <f>SUM(AI80:AI81)</f>
        <v>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50</v>
      </c>
      <c r="AH92" s="86"/>
      <c r="AI92" s="86">
        <f>SUM(AI82:AI83)</f>
        <v>50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240</v>
      </c>
      <c r="AH93" s="86"/>
      <c r="AI93" s="86">
        <f>SUM(AI84:AI85)</f>
        <v>240</v>
      </c>
      <c r="AM93" s="174">
        <v>0</v>
      </c>
      <c r="AN93" s="174">
        <v>15</v>
      </c>
      <c r="AO93" s="174">
        <v>0</v>
      </c>
      <c r="AP93" s="174">
        <v>0</v>
      </c>
      <c r="AQ93" s="174">
        <v>0</v>
      </c>
      <c r="AR93" s="174">
        <v>215</v>
      </c>
      <c r="AS93" s="174">
        <v>15</v>
      </c>
      <c r="AT93" s="174">
        <v>245</v>
      </c>
      <c r="AU93" s="86">
        <f t="shared" si="20"/>
        <v>0</v>
      </c>
      <c r="AV93" s="86"/>
      <c r="AZ93" s="19"/>
      <c r="BA93" s="19"/>
      <c r="BB93" s="19"/>
      <c r="BC93" s="19"/>
      <c r="BD93" s="19"/>
    </row>
    <row r="94" spans="21:56" ht="18" customHeight="1">
      <c r="AA94" s="163" t="s">
        <v>566</v>
      </c>
      <c r="AB94" s="128">
        <f t="shared" ref="AB94:AG94" si="26">SUM(AB89:AB93)</f>
        <v>45</v>
      </c>
      <c r="AC94" s="128">
        <f t="shared" si="26"/>
        <v>0</v>
      </c>
      <c r="AD94" s="128">
        <f t="shared" si="26"/>
        <v>0</v>
      </c>
      <c r="AE94" s="128">
        <f t="shared" si="26"/>
        <v>0</v>
      </c>
      <c r="AF94" s="128">
        <f t="shared" si="26"/>
        <v>0</v>
      </c>
      <c r="AG94" s="128">
        <f t="shared" si="26"/>
        <v>705</v>
      </c>
      <c r="AH94" s="128"/>
      <c r="AI94" s="128">
        <f>SUM(AI89:AI93)</f>
        <v>750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855</v>
      </c>
      <c r="AU96" s="86">
        <f>SUM(AU80:AU94)</f>
        <v>-30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145</v>
      </c>
      <c r="AN98" s="86">
        <f t="shared" si="27"/>
        <v>0</v>
      </c>
      <c r="AO98" s="86">
        <f t="shared" si="27"/>
        <v>0</v>
      </c>
      <c r="AP98" s="86">
        <f t="shared" si="27"/>
        <v>0</v>
      </c>
      <c r="AQ98" s="86">
        <f t="shared" si="27"/>
        <v>0</v>
      </c>
      <c r="AR98" s="86">
        <f t="shared" si="27"/>
        <v>140</v>
      </c>
      <c r="AS98" s="86">
        <f>AT98-SUM(AM98:AR98)</f>
        <v>30</v>
      </c>
      <c r="AT98" s="86">
        <f>SUM(AT80:AT82)</f>
        <v>315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15</v>
      </c>
      <c r="AO99" s="86">
        <f t="shared" si="28"/>
        <v>0</v>
      </c>
      <c r="AP99" s="86">
        <f t="shared" si="28"/>
        <v>0</v>
      </c>
      <c r="AQ99" s="86">
        <f t="shared" si="28"/>
        <v>0</v>
      </c>
      <c r="AR99" s="86">
        <f t="shared" si="28"/>
        <v>40</v>
      </c>
      <c r="AS99" s="86">
        <f t="shared" ref="AS99:AS102" si="29">AT99-SUM(AM99:AR99)</f>
        <v>0</v>
      </c>
      <c r="AT99" s="86">
        <f>SUM(AT83:AT85)</f>
        <v>55</v>
      </c>
      <c r="AZ99" s="19"/>
      <c r="BA99" s="19"/>
      <c r="BB99" s="19"/>
      <c r="BC99" s="19"/>
      <c r="BD99" s="19"/>
    </row>
    <row r="100" spans="2:56" ht="18" customHeight="1">
      <c r="B100" s="361" t="str">
        <f>"Chart 14a. "&amp;City_label&amp;" distribution of households by income and race or ethnicity, 2019"</f>
        <v>Chart 14a. North Bend distribution of households by income and race or ethnicity, 2019</v>
      </c>
      <c r="C100" s="361"/>
      <c r="D100" s="361"/>
      <c r="E100" s="361"/>
      <c r="F100" s="361"/>
      <c r="G100" s="361"/>
      <c r="H100" s="361"/>
      <c r="I100" s="361"/>
      <c r="J100" s="361"/>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190</v>
      </c>
      <c r="AS100" s="86">
        <f t="shared" si="29"/>
        <v>0</v>
      </c>
      <c r="AT100" s="86">
        <f>SUM(AT86:AT88)</f>
        <v>190</v>
      </c>
      <c r="AZ100" s="19"/>
      <c r="BA100" s="19"/>
      <c r="BB100" s="19"/>
      <c r="BC100" s="19"/>
      <c r="BD100" s="19"/>
    </row>
    <row r="101" spans="2:56" ht="18" customHeight="1">
      <c r="B101" s="361"/>
      <c r="C101" s="361"/>
      <c r="D101" s="361"/>
      <c r="E101" s="361"/>
      <c r="F101" s="361"/>
      <c r="G101" s="361"/>
      <c r="H101" s="361"/>
      <c r="I101" s="361"/>
      <c r="J101" s="361"/>
      <c r="AA101" s="60" t="s">
        <v>427</v>
      </c>
      <c r="AB101" s="147">
        <f>SUM(AF51,AF89)</f>
        <v>0</v>
      </c>
      <c r="AC101" s="147">
        <f>SUM(AD51,AD89)</f>
        <v>0</v>
      </c>
      <c r="AD101" s="147">
        <f>SUM(AC51,AC89)</f>
        <v>0</v>
      </c>
      <c r="AE101" s="147">
        <f>SUM(AB51,AB89)</f>
        <v>45</v>
      </c>
      <c r="AF101" s="147">
        <f>SUM(AE51,AE89)</f>
        <v>0</v>
      </c>
      <c r="AG101" s="147">
        <f>SUM(AG51,AG89)</f>
        <v>385</v>
      </c>
      <c r="AH101" s="244">
        <f t="shared" ref="AH101:AH105" si="31">AI101-SUM(AB101:AG101)</f>
        <v>0</v>
      </c>
      <c r="AI101" s="147">
        <f t="shared" ref="AI101:AI106" si="32">SUM(AI51,AI89)</f>
        <v>430</v>
      </c>
      <c r="AJ101" s="86"/>
      <c r="AL101" s="60" t="s">
        <v>511</v>
      </c>
      <c r="AM101" s="86">
        <f t="shared" ref="AM101:AR101" si="33">SUM(AM89:AM91)</f>
        <v>0</v>
      </c>
      <c r="AN101" s="86">
        <f t="shared" si="33"/>
        <v>0</v>
      </c>
      <c r="AO101" s="86">
        <f t="shared" si="33"/>
        <v>0</v>
      </c>
      <c r="AP101" s="86">
        <f t="shared" si="33"/>
        <v>0</v>
      </c>
      <c r="AQ101" s="86">
        <f t="shared" si="33"/>
        <v>0</v>
      </c>
      <c r="AR101" s="86">
        <f t="shared" si="33"/>
        <v>50</v>
      </c>
      <c r="AS101" s="86">
        <f t="shared" si="29"/>
        <v>0</v>
      </c>
      <c r="AT101" s="86">
        <f>SUM(AT89:AT91)</f>
        <v>50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45</v>
      </c>
      <c r="AF102" s="147">
        <f t="shared" ref="AF102:AF105" si="38">SUM(AE52,AE90)</f>
        <v>0</v>
      </c>
      <c r="AG102" s="147">
        <f t="shared" ref="AG102:AG105" si="39">SUM(AG52,AG90)</f>
        <v>145</v>
      </c>
      <c r="AH102" s="244">
        <f t="shared" si="31"/>
        <v>0</v>
      </c>
      <c r="AI102" s="147">
        <f t="shared" si="32"/>
        <v>190</v>
      </c>
      <c r="AJ102" s="86"/>
      <c r="AL102" s="60" t="s">
        <v>537</v>
      </c>
      <c r="AM102" s="86">
        <f t="shared" ref="AM102:AR102" si="40">SUM(AM92:AM94)</f>
        <v>0</v>
      </c>
      <c r="AN102" s="86">
        <f t="shared" si="40"/>
        <v>15</v>
      </c>
      <c r="AO102" s="86">
        <f t="shared" si="40"/>
        <v>0</v>
      </c>
      <c r="AP102" s="86">
        <f t="shared" si="40"/>
        <v>0</v>
      </c>
      <c r="AQ102" s="86">
        <f t="shared" si="40"/>
        <v>0</v>
      </c>
      <c r="AR102" s="86">
        <f t="shared" si="40"/>
        <v>215</v>
      </c>
      <c r="AS102" s="86">
        <f t="shared" si="29"/>
        <v>15</v>
      </c>
      <c r="AT102" s="86">
        <f>SUM(AT92:AT94)</f>
        <v>245</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130</v>
      </c>
      <c r="AH103" s="244">
        <f t="shared" si="31"/>
        <v>0</v>
      </c>
      <c r="AI103" s="147">
        <f t="shared" si="32"/>
        <v>130</v>
      </c>
      <c r="AJ103" s="86"/>
      <c r="AL103" s="163" t="s">
        <v>566</v>
      </c>
      <c r="AM103" s="128">
        <f t="shared" ref="AM103:AT103" si="41">SUM(AM98:AM102)</f>
        <v>145</v>
      </c>
      <c r="AN103" s="128">
        <f t="shared" si="41"/>
        <v>30</v>
      </c>
      <c r="AO103" s="128">
        <f t="shared" si="41"/>
        <v>0</v>
      </c>
      <c r="AP103" s="128">
        <f t="shared" si="41"/>
        <v>0</v>
      </c>
      <c r="AQ103" s="128">
        <f t="shared" si="41"/>
        <v>0</v>
      </c>
      <c r="AR103" s="128">
        <f t="shared" si="41"/>
        <v>635</v>
      </c>
      <c r="AS103" s="128">
        <f t="shared" si="41"/>
        <v>45</v>
      </c>
      <c r="AT103" s="128">
        <f t="shared" si="41"/>
        <v>855</v>
      </c>
      <c r="AU103" s="86">
        <f>(SUM(AM103:AS103))-AT103</f>
        <v>0</v>
      </c>
      <c r="AZ103" s="19"/>
      <c r="BA103" s="19"/>
      <c r="BB103" s="19"/>
      <c r="BC103" s="19"/>
      <c r="BD103" s="19"/>
    </row>
    <row r="104" spans="2:56" ht="18" customHeight="1">
      <c r="Z104" s="90"/>
      <c r="AA104" s="60" t="s">
        <v>511</v>
      </c>
      <c r="AB104" s="147">
        <f t="shared" si="34"/>
        <v>0</v>
      </c>
      <c r="AC104" s="147">
        <f t="shared" si="35"/>
        <v>15</v>
      </c>
      <c r="AD104" s="147">
        <f t="shared" si="36"/>
        <v>0</v>
      </c>
      <c r="AE104" s="147">
        <f t="shared" si="37"/>
        <v>0</v>
      </c>
      <c r="AF104" s="147">
        <f t="shared" si="38"/>
        <v>0</v>
      </c>
      <c r="AG104" s="147">
        <f t="shared" si="39"/>
        <v>150</v>
      </c>
      <c r="AH104" s="244">
        <f t="shared" si="31"/>
        <v>0</v>
      </c>
      <c r="AI104" s="147">
        <f t="shared" si="32"/>
        <v>165</v>
      </c>
      <c r="AJ104" s="86"/>
      <c r="AL104" s="169"/>
      <c r="AZ104" s="19"/>
      <c r="BA104" s="19"/>
      <c r="BB104" s="19"/>
      <c r="BC104" s="19"/>
    </row>
    <row r="105" spans="2:56" ht="18" customHeight="1">
      <c r="Z105" s="90"/>
      <c r="AA105" s="60" t="s">
        <v>537</v>
      </c>
      <c r="AB105" s="147">
        <f t="shared" si="34"/>
        <v>0</v>
      </c>
      <c r="AC105" s="147">
        <f t="shared" si="35"/>
        <v>85</v>
      </c>
      <c r="AD105" s="147">
        <f t="shared" si="36"/>
        <v>15</v>
      </c>
      <c r="AE105" s="147">
        <f t="shared" si="37"/>
        <v>75</v>
      </c>
      <c r="AF105" s="147">
        <f t="shared" si="38"/>
        <v>0</v>
      </c>
      <c r="AG105" s="147">
        <f t="shared" si="39"/>
        <v>1500</v>
      </c>
      <c r="AH105" s="244">
        <f t="shared" si="31"/>
        <v>15</v>
      </c>
      <c r="AI105" s="147">
        <f t="shared" si="32"/>
        <v>1690</v>
      </c>
      <c r="AJ105" s="86"/>
      <c r="AZ105" s="19"/>
      <c r="BA105" s="19"/>
      <c r="BB105" s="19"/>
      <c r="BC105" s="19"/>
    </row>
    <row r="106" spans="2:56" ht="18" customHeight="1">
      <c r="Z106" s="90"/>
      <c r="AA106" s="127" t="s">
        <v>280</v>
      </c>
      <c r="AB106" s="177">
        <f>SUM(AF56,AF94)</f>
        <v>0</v>
      </c>
      <c r="AC106" s="177">
        <f>SUM(AD56,AD94)</f>
        <v>100</v>
      </c>
      <c r="AD106" s="177">
        <f>SUM(AC56,AC94)</f>
        <v>15</v>
      </c>
      <c r="AE106" s="177">
        <f>SUM(AB56,AB94)</f>
        <v>165</v>
      </c>
      <c r="AF106" s="177">
        <f>SUM(AE56,AE94)</f>
        <v>0</v>
      </c>
      <c r="AG106" s="177">
        <f>SUM(AG56,AG94)</f>
        <v>2310</v>
      </c>
      <c r="AH106" s="114">
        <f>SUM(AH101:AH105)</f>
        <v>15</v>
      </c>
      <c r="AI106" s="177">
        <f t="shared" si="32"/>
        <v>2605</v>
      </c>
      <c r="AJ106" s="86"/>
      <c r="AL106" s="7"/>
      <c r="AM106" s="7"/>
      <c r="AN106" s="7"/>
      <c r="AO106" s="7"/>
      <c r="AP106" s="7"/>
      <c r="AQ106" s="7"/>
      <c r="AR106" s="7"/>
      <c r="AS106" s="7"/>
      <c r="AT106" s="7"/>
      <c r="AU106" s="7"/>
      <c r="AV106" s="7"/>
    </row>
    <row r="107" spans="2:56" ht="18" customHeight="1">
      <c r="Z107" s="90"/>
      <c r="AA107" s="175" t="s">
        <v>692</v>
      </c>
      <c r="AI107" s="174">
        <v>2600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145</v>
      </c>
      <c r="AP109" s="147">
        <f t="shared" ref="AP109:AT114" si="45">SUM(AP51,AP98)</f>
        <v>0</v>
      </c>
      <c r="AQ109" s="147">
        <f t="shared" si="45"/>
        <v>0</v>
      </c>
      <c r="AR109" s="147">
        <f t="shared" si="45"/>
        <v>320</v>
      </c>
      <c r="AS109" s="245">
        <f t="shared" si="45"/>
        <v>30</v>
      </c>
      <c r="AT109" s="147">
        <f t="shared" si="45"/>
        <v>495</v>
      </c>
    </row>
    <row r="110" spans="2:56" ht="18" customHeight="1">
      <c r="AA110" s="60" t="s">
        <v>427</v>
      </c>
      <c r="AB110" s="135">
        <f>IFERROR(AC101/AC$106,"0"%)</f>
        <v>0</v>
      </c>
      <c r="AC110" s="135">
        <f>IFERROR(AD101/AD$106,"0"%)</f>
        <v>0</v>
      </c>
      <c r="AD110" s="135">
        <f>IFERROR(AE101/AE$106, "0"%)</f>
        <v>0.27272727272727271</v>
      </c>
      <c r="AE110" s="135">
        <f>IFERROR(AF101/AF$106, "0"%)</f>
        <v>0</v>
      </c>
      <c r="AF110" s="135">
        <f>IFERROR(AG101/AG$106, "0"%)</f>
        <v>0.16666666666666666</v>
      </c>
      <c r="AG110" s="135">
        <f>IFERROR(AI101/AI$106,"0"%)</f>
        <v>0.16506717850287908</v>
      </c>
      <c r="AH110" s="135"/>
      <c r="AL110" s="60" t="s">
        <v>458</v>
      </c>
      <c r="AM110" s="147">
        <f t="shared" si="42"/>
        <v>0</v>
      </c>
      <c r="AN110" s="147">
        <f t="shared" si="43"/>
        <v>15</v>
      </c>
      <c r="AO110" s="147">
        <f t="shared" si="44"/>
        <v>0</v>
      </c>
      <c r="AP110" s="147">
        <f t="shared" si="45"/>
        <v>0</v>
      </c>
      <c r="AQ110" s="147">
        <f t="shared" si="45"/>
        <v>0</v>
      </c>
      <c r="AR110" s="147">
        <f t="shared" si="45"/>
        <v>90</v>
      </c>
      <c r="AS110" s="245">
        <f t="shared" si="45"/>
        <v>0</v>
      </c>
      <c r="AT110" s="147">
        <f t="shared" si="45"/>
        <v>105</v>
      </c>
    </row>
    <row r="111" spans="2:56" ht="18" customHeight="1">
      <c r="AA111" s="60" t="s">
        <v>458</v>
      </c>
      <c r="AB111" s="135">
        <f t="shared" ref="AB111:AC114" si="46">IFERROR(AC102/AC$106,"0"%)</f>
        <v>0</v>
      </c>
      <c r="AC111" s="135">
        <f t="shared" si="46"/>
        <v>0</v>
      </c>
      <c r="AD111" s="135">
        <f t="shared" ref="AD111:AF114" si="47">IFERROR(AE102/AE$106, "0"%)</f>
        <v>0.27272727272727271</v>
      </c>
      <c r="AE111" s="135">
        <f t="shared" si="47"/>
        <v>0</v>
      </c>
      <c r="AF111" s="135">
        <f t="shared" si="47"/>
        <v>6.2770562770562768E-2</v>
      </c>
      <c r="AG111" s="135">
        <f t="shared" ref="AG111:AG114" si="48">IFERROR(AI102/AI$106,"0"%)</f>
        <v>7.293666026871401E-2</v>
      </c>
      <c r="AH111" s="135"/>
      <c r="AL111" s="60" t="s">
        <v>486</v>
      </c>
      <c r="AM111" s="147">
        <f t="shared" si="42"/>
        <v>0</v>
      </c>
      <c r="AN111" s="147">
        <f t="shared" si="43"/>
        <v>0</v>
      </c>
      <c r="AO111" s="147">
        <f t="shared" si="44"/>
        <v>0</v>
      </c>
      <c r="AP111" s="147">
        <f t="shared" si="45"/>
        <v>0</v>
      </c>
      <c r="AQ111" s="147">
        <f t="shared" si="45"/>
        <v>0</v>
      </c>
      <c r="AR111" s="147">
        <f t="shared" si="45"/>
        <v>270</v>
      </c>
      <c r="AS111" s="245">
        <f t="shared" si="45"/>
        <v>0</v>
      </c>
      <c r="AT111" s="147">
        <f t="shared" si="45"/>
        <v>270</v>
      </c>
    </row>
    <row r="112" spans="2:56" ht="18" customHeight="1">
      <c r="AA112" s="60" t="s">
        <v>486</v>
      </c>
      <c r="AB112" s="135">
        <f t="shared" si="46"/>
        <v>0</v>
      </c>
      <c r="AC112" s="135">
        <f t="shared" si="46"/>
        <v>0</v>
      </c>
      <c r="AD112" s="135">
        <f t="shared" si="47"/>
        <v>0</v>
      </c>
      <c r="AE112" s="135">
        <f t="shared" si="47"/>
        <v>0</v>
      </c>
      <c r="AF112" s="135">
        <f t="shared" si="47"/>
        <v>5.627705627705628E-2</v>
      </c>
      <c r="AG112" s="135">
        <f t="shared" si="48"/>
        <v>4.9904030710172742E-2</v>
      </c>
      <c r="AH112" s="135"/>
      <c r="AL112" s="60" t="s">
        <v>511</v>
      </c>
      <c r="AM112" s="147">
        <f t="shared" si="42"/>
        <v>0</v>
      </c>
      <c r="AN112" s="147">
        <f t="shared" si="43"/>
        <v>0</v>
      </c>
      <c r="AO112" s="147">
        <f t="shared" si="44"/>
        <v>0</v>
      </c>
      <c r="AP112" s="147">
        <f t="shared" si="45"/>
        <v>0</v>
      </c>
      <c r="AQ112" s="147">
        <f t="shared" si="45"/>
        <v>0</v>
      </c>
      <c r="AR112" s="147">
        <f t="shared" si="45"/>
        <v>125</v>
      </c>
      <c r="AS112" s="245">
        <f t="shared" si="45"/>
        <v>0</v>
      </c>
      <c r="AT112" s="147">
        <f t="shared" si="45"/>
        <v>125</v>
      </c>
    </row>
    <row r="113" spans="2:48" ht="18" customHeight="1">
      <c r="AA113" s="60" t="s">
        <v>511</v>
      </c>
      <c r="AB113" s="135">
        <f t="shared" si="46"/>
        <v>0.15</v>
      </c>
      <c r="AC113" s="135">
        <f t="shared" si="46"/>
        <v>0</v>
      </c>
      <c r="AD113" s="135">
        <f t="shared" si="47"/>
        <v>0</v>
      </c>
      <c r="AE113" s="135">
        <f t="shared" si="47"/>
        <v>0</v>
      </c>
      <c r="AF113" s="135">
        <f t="shared" si="47"/>
        <v>6.4935064935064929E-2</v>
      </c>
      <c r="AG113" s="135">
        <f t="shared" si="48"/>
        <v>6.3339731285988479E-2</v>
      </c>
      <c r="AH113" s="135"/>
      <c r="AL113" s="60" t="s">
        <v>537</v>
      </c>
      <c r="AM113" s="147">
        <f t="shared" si="42"/>
        <v>0</v>
      </c>
      <c r="AN113" s="147">
        <f t="shared" si="43"/>
        <v>15</v>
      </c>
      <c r="AO113" s="147">
        <f t="shared" si="44"/>
        <v>20</v>
      </c>
      <c r="AP113" s="147">
        <f t="shared" si="45"/>
        <v>0</v>
      </c>
      <c r="AQ113" s="147">
        <f t="shared" si="45"/>
        <v>0</v>
      </c>
      <c r="AR113" s="147">
        <f t="shared" si="45"/>
        <v>1200</v>
      </c>
      <c r="AS113" s="245">
        <f t="shared" si="45"/>
        <v>45</v>
      </c>
      <c r="AT113" s="147">
        <f t="shared" si="45"/>
        <v>1285</v>
      </c>
    </row>
    <row r="114" spans="2:48" ht="18" customHeight="1">
      <c r="AA114" s="60" t="s">
        <v>537</v>
      </c>
      <c r="AB114" s="135">
        <f t="shared" si="46"/>
        <v>0.85</v>
      </c>
      <c r="AC114" s="135">
        <f t="shared" si="46"/>
        <v>1</v>
      </c>
      <c r="AD114" s="135">
        <f t="shared" si="47"/>
        <v>0.45454545454545453</v>
      </c>
      <c r="AE114" s="135">
        <f t="shared" si="47"/>
        <v>0</v>
      </c>
      <c r="AF114" s="135">
        <f t="shared" si="47"/>
        <v>0.64935064935064934</v>
      </c>
      <c r="AG114" s="135">
        <f t="shared" si="48"/>
        <v>0.6487523992322457</v>
      </c>
      <c r="AH114" s="135"/>
      <c r="AL114" s="127" t="s">
        <v>280</v>
      </c>
      <c r="AM114" s="177">
        <f t="shared" si="42"/>
        <v>0</v>
      </c>
      <c r="AN114" s="177">
        <f t="shared" si="43"/>
        <v>30</v>
      </c>
      <c r="AO114" s="177">
        <f t="shared" si="44"/>
        <v>165</v>
      </c>
      <c r="AP114" s="177">
        <f t="shared" si="45"/>
        <v>0</v>
      </c>
      <c r="AQ114" s="177">
        <f t="shared" si="45"/>
        <v>0</v>
      </c>
      <c r="AR114" s="177">
        <f t="shared" si="45"/>
        <v>2005</v>
      </c>
      <c r="AS114" s="245">
        <f t="shared" si="45"/>
        <v>75</v>
      </c>
      <c r="AT114" s="177">
        <f t="shared" si="45"/>
        <v>2280</v>
      </c>
    </row>
    <row r="115" spans="2:48" ht="13.9" customHeight="1">
      <c r="B115" s="334" t="s">
        <v>565</v>
      </c>
      <c r="C115" s="334"/>
      <c r="D115" s="334"/>
      <c r="E115" s="334"/>
      <c r="F115" s="334"/>
      <c r="G115" s="334"/>
      <c r="H115" s="334"/>
      <c r="I115" s="334"/>
      <c r="AI115" s="88"/>
      <c r="AL115" s="169" t="s">
        <v>693</v>
      </c>
      <c r="AS115" s="7"/>
      <c r="AT115" s="1">
        <v>2275</v>
      </c>
    </row>
    <row r="116" spans="2:48" ht="13.9" customHeight="1">
      <c r="B116" s="334"/>
      <c r="C116" s="334"/>
      <c r="D116" s="334"/>
      <c r="E116" s="334"/>
      <c r="F116" s="334"/>
      <c r="G116" s="334"/>
      <c r="H116" s="334"/>
      <c r="I116" s="334"/>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t="e">
        <f t="shared" ref="AM118:AO122" si="49">AM109/AM$114</f>
        <v>#DIV/0!</v>
      </c>
      <c r="AN118" s="135">
        <f t="shared" si="49"/>
        <v>0</v>
      </c>
      <c r="AO118" s="135">
        <f t="shared" si="49"/>
        <v>0.87878787878787878</v>
      </c>
      <c r="AP118" s="135">
        <f>SUM(AP109:AQ109:AS109)/SUM(AP$114:AQ$114:AS$114)</f>
        <v>0.16826923076923078</v>
      </c>
      <c r="AQ118" s="135">
        <f>AR109/AR$114</f>
        <v>0.15960099750623441</v>
      </c>
      <c r="AR118" s="135">
        <f>AT109/AT$114</f>
        <v>0.21710526315789475</v>
      </c>
    </row>
    <row r="119" spans="2:48" ht="21" customHeight="1">
      <c r="B119" s="360" t="str">
        <f>"Table 7. "&amp;City_label&amp;" five year change in households by income and race, 2014 - 2019"</f>
        <v>Table 7. North Bend five year change in households by income and race, 2014 - 2019</v>
      </c>
      <c r="C119" s="360"/>
      <c r="D119" s="360"/>
      <c r="E119" s="360"/>
      <c r="F119" s="360"/>
      <c r="G119" s="360"/>
      <c r="H119" s="360"/>
      <c r="AI119" s="88"/>
      <c r="AL119" s="60" t="s">
        <v>458</v>
      </c>
      <c r="AM119" s="135" t="e">
        <f t="shared" si="49"/>
        <v>#DIV/0!</v>
      </c>
      <c r="AN119" s="135">
        <f t="shared" si="49"/>
        <v>0.5</v>
      </c>
      <c r="AO119" s="135">
        <f t="shared" si="49"/>
        <v>0</v>
      </c>
      <c r="AP119" s="135">
        <f>SUM(AP110:AQ110:AS110)/SUM(AP$114:AQ$114:AS$114)</f>
        <v>4.3269230769230768E-2</v>
      </c>
      <c r="AQ119" s="135">
        <f>AR110/AR$114</f>
        <v>4.488778054862843E-2</v>
      </c>
      <c r="AR119" s="135">
        <f>AT110/AT$114</f>
        <v>4.6052631578947366E-2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t="e">
        <f t="shared" si="49"/>
        <v>#DIV/0!</v>
      </c>
      <c r="AN120" s="135">
        <f t="shared" si="49"/>
        <v>0</v>
      </c>
      <c r="AO120" s="135">
        <f t="shared" si="49"/>
        <v>0</v>
      </c>
      <c r="AP120" s="135">
        <f>SUM(AP111:AQ111:AS111)/SUM(AP$114:AQ$114:AS$114)</f>
        <v>0.12980769230769232</v>
      </c>
      <c r="AQ120" s="135">
        <f>AR111/AR$114</f>
        <v>0.13466334164588528</v>
      </c>
      <c r="AR120" s="135">
        <f>AT111/AT$114</f>
        <v>0.11842105263157894</v>
      </c>
    </row>
    <row r="121" spans="2:48" ht="13.9" customHeight="1" thickBot="1">
      <c r="AA121" s="60" t="s">
        <v>564</v>
      </c>
      <c r="AB121" s="86">
        <f>AE101</f>
        <v>45</v>
      </c>
      <c r="AC121" s="86">
        <f>SUM(AB101:AD101,AF101,AH101)</f>
        <v>0</v>
      </c>
      <c r="AD121" s="86">
        <f>AG101</f>
        <v>385</v>
      </c>
      <c r="AF121" s="135">
        <f>AB121/$AB$126</f>
        <v>0.27272727272727271</v>
      </c>
      <c r="AG121" s="135">
        <f>AC121/$AC$126</f>
        <v>0</v>
      </c>
      <c r="AH121" s="135">
        <f>AD121/$AD$126</f>
        <v>0.16666666666666666</v>
      </c>
      <c r="AL121" s="60" t="s">
        <v>511</v>
      </c>
      <c r="AM121" s="135" t="e">
        <f t="shared" si="49"/>
        <v>#DIV/0!</v>
      </c>
      <c r="AN121" s="135">
        <f t="shared" si="49"/>
        <v>0</v>
      </c>
      <c r="AO121" s="135">
        <f t="shared" si="49"/>
        <v>0</v>
      </c>
      <c r="AP121" s="135">
        <f>SUM(AP112:AQ112:AS112)/SUM(AP$114:AQ$114:AS$114)</f>
        <v>6.0096153846153848E-2</v>
      </c>
      <c r="AQ121" s="135">
        <f>AR112/AR$114</f>
        <v>6.2344139650872821E-2</v>
      </c>
      <c r="AR121" s="135">
        <f>AT112/AT$114</f>
        <v>5.4824561403508769E-2</v>
      </c>
      <c r="AV121" s="7"/>
    </row>
    <row r="122" spans="2:48" ht="19.5" customHeight="1">
      <c r="B122" s="357"/>
      <c r="C122" s="354" t="s">
        <v>413</v>
      </c>
      <c r="D122" s="354" t="s">
        <v>696</v>
      </c>
      <c r="E122" s="354" t="s">
        <v>697</v>
      </c>
      <c r="F122" s="354" t="s">
        <v>698</v>
      </c>
      <c r="G122" s="354" t="s">
        <v>699</v>
      </c>
      <c r="H122" s="354" t="s">
        <v>190</v>
      </c>
      <c r="AA122" s="60" t="s">
        <v>458</v>
      </c>
      <c r="AB122" s="86">
        <f>AE102</f>
        <v>45</v>
      </c>
      <c r="AC122" s="86">
        <f t="shared" ref="AC122:AC125" si="50">SUM(AB102:AD102,AF102,AH102)</f>
        <v>0</v>
      </c>
      <c r="AD122" s="86">
        <f>AG102</f>
        <v>145</v>
      </c>
      <c r="AF122" s="135">
        <f>AB122/$AB$126</f>
        <v>0.27272727272727271</v>
      </c>
      <c r="AG122" s="135">
        <f>AC122/$AC$126</f>
        <v>0</v>
      </c>
      <c r="AH122" s="135">
        <f>AD122/$AD$126</f>
        <v>6.2770562770562768E-2</v>
      </c>
      <c r="AL122" s="60" t="s">
        <v>537</v>
      </c>
      <c r="AM122" s="284" t="e">
        <f t="shared" si="49"/>
        <v>#DIV/0!</v>
      </c>
      <c r="AN122" s="284">
        <f t="shared" si="49"/>
        <v>0.5</v>
      </c>
      <c r="AO122" s="284">
        <f t="shared" si="49"/>
        <v>0.12121212121212122</v>
      </c>
      <c r="AP122" s="284">
        <f>SUM(AP113:AQ113:AS113)/SUM(AP$114:AQ$114:AS$114)</f>
        <v>0.59855769230769229</v>
      </c>
      <c r="AQ122" s="284">
        <f>AR113/AR$114</f>
        <v>0.59850374064837908</v>
      </c>
      <c r="AR122" s="284">
        <f>AT113/AT$114</f>
        <v>0.56359649122807021</v>
      </c>
      <c r="AV122" s="7"/>
    </row>
    <row r="123" spans="2:48" ht="19.5" customHeight="1">
      <c r="B123" s="358"/>
      <c r="C123" s="355"/>
      <c r="D123" s="355"/>
      <c r="E123" s="355"/>
      <c r="F123" s="355"/>
      <c r="G123" s="355"/>
      <c r="H123" s="355"/>
      <c r="AA123" s="60" t="s">
        <v>486</v>
      </c>
      <c r="AB123" s="86">
        <f>AE103</f>
        <v>0</v>
      </c>
      <c r="AC123" s="86">
        <f t="shared" si="50"/>
        <v>0</v>
      </c>
      <c r="AD123" s="86">
        <f>AG103</f>
        <v>130</v>
      </c>
      <c r="AF123" s="135">
        <f>AB123/$AB$126</f>
        <v>0</v>
      </c>
      <c r="AG123" s="135">
        <f>AC123/$AC$126</f>
        <v>0</v>
      </c>
      <c r="AH123" s="135">
        <f>AD123/$AD$126</f>
        <v>5.627705627705628E-2</v>
      </c>
      <c r="AL123" s="127" t="s">
        <v>150</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6"/>
      <c r="D124" s="356"/>
      <c r="E124" s="356"/>
      <c r="F124" s="356"/>
      <c r="G124" s="356"/>
      <c r="H124" s="356"/>
      <c r="AA124" s="60" t="s">
        <v>511</v>
      </c>
      <c r="AB124" s="86">
        <f>AE104</f>
        <v>0</v>
      </c>
      <c r="AC124" s="86">
        <f t="shared" si="50"/>
        <v>15</v>
      </c>
      <c r="AD124" s="86">
        <f>AG104</f>
        <v>150</v>
      </c>
      <c r="AF124" s="135">
        <f>AB124/$AB$126</f>
        <v>0</v>
      </c>
      <c r="AG124" s="135">
        <f>AC124/$AC$126</f>
        <v>0.11538461538461539</v>
      </c>
      <c r="AH124" s="135">
        <f>AD124/$AD$126</f>
        <v>6.4935064935064929E-2</v>
      </c>
      <c r="AS124" s="88"/>
      <c r="AV124" s="7"/>
    </row>
    <row r="125" spans="2:48" ht="21" customHeight="1">
      <c r="B125" s="233" t="s">
        <v>280</v>
      </c>
      <c r="C125" s="234"/>
      <c r="D125" s="235"/>
      <c r="E125" s="235"/>
      <c r="F125" s="235"/>
      <c r="G125" s="235"/>
      <c r="H125" s="235"/>
      <c r="AA125" s="60" t="s">
        <v>537</v>
      </c>
      <c r="AB125" s="287">
        <f>AE105</f>
        <v>75</v>
      </c>
      <c r="AC125" s="287">
        <f t="shared" si="50"/>
        <v>115</v>
      </c>
      <c r="AD125" s="287">
        <f>AG105</f>
        <v>1500</v>
      </c>
      <c r="AE125" s="288"/>
      <c r="AF125" s="284">
        <f>AB125/$AB$126</f>
        <v>0.45454545454545453</v>
      </c>
      <c r="AG125" s="284">
        <f>AC125/$AC$126</f>
        <v>0.88461538461538458</v>
      </c>
      <c r="AH125" s="284">
        <f>AD125/$AD$126</f>
        <v>0.64935064935064934</v>
      </c>
      <c r="AS125" s="88"/>
      <c r="AV125" s="7"/>
    </row>
    <row r="126" spans="2:48" ht="21" customHeight="1">
      <c r="B126" s="43">
        <v>2015</v>
      </c>
      <c r="C126" s="236">
        <f>AT109</f>
        <v>495</v>
      </c>
      <c r="D126" s="237">
        <f>AT110</f>
        <v>105</v>
      </c>
      <c r="E126" s="237">
        <f>AT111</f>
        <v>270</v>
      </c>
      <c r="F126" s="237">
        <f>AT112</f>
        <v>125</v>
      </c>
      <c r="G126" s="237">
        <f>AT113</f>
        <v>1285</v>
      </c>
      <c r="H126" s="237">
        <f>AT114</f>
        <v>2280</v>
      </c>
      <c r="AA126" s="85" t="s">
        <v>150</v>
      </c>
      <c r="AB126" s="128">
        <f>SUM(AB121:AB125)</f>
        <v>165</v>
      </c>
      <c r="AC126" s="128">
        <f>SUM(AC121:AC125)</f>
        <v>130</v>
      </c>
      <c r="AD126" s="128">
        <f>SUM(AD121:AD125)</f>
        <v>2310</v>
      </c>
      <c r="AF126" s="283">
        <f>SUM(AF121:AF125)</f>
        <v>1</v>
      </c>
      <c r="AG126" s="283">
        <f t="shared" ref="AG126:AH126" si="52">SUM(AG121:AG125)</f>
        <v>1</v>
      </c>
      <c r="AH126" s="283">
        <f t="shared" si="52"/>
        <v>1</v>
      </c>
      <c r="AI126" s="88"/>
      <c r="AL126" s="171"/>
      <c r="AS126" s="88"/>
      <c r="AV126" s="7"/>
    </row>
    <row r="127" spans="2:48" ht="21" customHeight="1">
      <c r="B127" s="43">
        <v>2020</v>
      </c>
      <c r="C127" s="236">
        <f>AI101</f>
        <v>430</v>
      </c>
      <c r="D127" s="237">
        <f>AI102</f>
        <v>190</v>
      </c>
      <c r="E127" s="237">
        <f>AI103</f>
        <v>130</v>
      </c>
      <c r="F127" s="237">
        <f>AI104</f>
        <v>165</v>
      </c>
      <c r="G127" s="237">
        <f>AI105</f>
        <v>1690</v>
      </c>
      <c r="H127" s="237">
        <f>AI106</f>
        <v>2605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15</v>
      </c>
      <c r="G130" s="237">
        <f>AC105</f>
        <v>85</v>
      </c>
      <c r="H130" s="237">
        <f>AC106</f>
        <v>100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15</v>
      </c>
      <c r="E132" s="237">
        <f>AN111</f>
        <v>0</v>
      </c>
      <c r="F132" s="237">
        <f>AN112</f>
        <v>0</v>
      </c>
      <c r="G132" s="237">
        <f>AN113</f>
        <v>15</v>
      </c>
      <c r="H132" s="237">
        <f>AN114</f>
        <v>30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15</v>
      </c>
      <c r="H133" s="237">
        <f>AD106</f>
        <v>15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145</v>
      </c>
      <c r="D135" s="237">
        <f>AO110</f>
        <v>0</v>
      </c>
      <c r="E135" s="237">
        <f>AO111</f>
        <v>0</v>
      </c>
      <c r="F135" s="237">
        <f>AO112</f>
        <v>0</v>
      </c>
      <c r="G135" s="237">
        <f>AO113</f>
        <v>20</v>
      </c>
      <c r="H135" s="237">
        <f>AO114</f>
        <v>165</v>
      </c>
      <c r="AA135" s="7"/>
      <c r="AB135" s="7"/>
      <c r="AC135" s="7"/>
      <c r="AD135" s="7"/>
      <c r="AE135" s="7"/>
      <c r="AF135" s="7"/>
      <c r="AG135" s="7"/>
      <c r="AH135" s="7"/>
      <c r="AI135" s="7"/>
      <c r="AJ135" s="7"/>
      <c r="AK135" s="7"/>
      <c r="AS135" s="88"/>
      <c r="AV135" s="7"/>
    </row>
    <row r="136" spans="2:48" ht="18" customHeight="1">
      <c r="B136" s="43">
        <v>2020</v>
      </c>
      <c r="C136" s="239">
        <f>AE101</f>
        <v>45</v>
      </c>
      <c r="D136" s="239">
        <f>AE102</f>
        <v>45</v>
      </c>
      <c r="E136" s="239">
        <f>AE103</f>
        <v>0</v>
      </c>
      <c r="F136" s="239">
        <f>AE104</f>
        <v>0</v>
      </c>
      <c r="G136" s="239">
        <f>AE105</f>
        <v>75</v>
      </c>
      <c r="H136" s="239">
        <f>AE106</f>
        <v>165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30</v>
      </c>
      <c r="D138" s="237">
        <f>AP110+AQ110+AS110</f>
        <v>0</v>
      </c>
      <c r="E138" s="237">
        <f>AP111+AQ111+AS111</f>
        <v>0</v>
      </c>
      <c r="F138" s="237">
        <f>AP112+AQ112+AS112</f>
        <v>0</v>
      </c>
      <c r="G138" s="237">
        <f>AP113+AQ113+AS113</f>
        <v>45</v>
      </c>
      <c r="H138" s="237">
        <f>AP114+AQ114+AS114</f>
        <v>75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15</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320</v>
      </c>
      <c r="D141" s="237">
        <f>AR110</f>
        <v>90</v>
      </c>
      <c r="E141" s="237">
        <f>AR111</f>
        <v>270</v>
      </c>
      <c r="F141" s="237">
        <f>AR112</f>
        <v>125</v>
      </c>
      <c r="G141" s="237">
        <f>AR113</f>
        <v>1200</v>
      </c>
      <c r="H141" s="237">
        <f>AR114</f>
        <v>2005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385</v>
      </c>
      <c r="D142" s="241">
        <f>AG102</f>
        <v>145</v>
      </c>
      <c r="E142" s="241">
        <f>AG103</f>
        <v>130</v>
      </c>
      <c r="F142" s="241">
        <f>AG104</f>
        <v>150</v>
      </c>
      <c r="G142" s="241">
        <f>AG105</f>
        <v>1500</v>
      </c>
      <c r="H142" s="241">
        <f>AG106</f>
        <v>2310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4" t="s">
        <v>565</v>
      </c>
      <c r="C143" s="364"/>
      <c r="D143" s="364"/>
      <c r="E143" s="364"/>
      <c r="F143" s="364"/>
      <c r="G143" s="364"/>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5"/>
      <c r="C144" s="365"/>
      <c r="D144" s="365"/>
      <c r="E144" s="365"/>
      <c r="F144" s="365"/>
      <c r="G144" s="365"/>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2" t="str">
        <f>"Table 8. "&amp;City_label&amp;" five year change in distribution of households by income and race, 2014 - 2019"</f>
        <v>Table 8. North Bend five year change in distribution of households by income and race, 2014 - 2019</v>
      </c>
      <c r="C146" s="362"/>
      <c r="D146" s="362"/>
      <c r="E146" s="362"/>
      <c r="F146" s="362"/>
      <c r="G146" s="362"/>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3"/>
      <c r="C147" s="363"/>
      <c r="D147" s="363"/>
      <c r="E147" s="363"/>
      <c r="F147" s="363"/>
      <c r="G147" s="363"/>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7"/>
      <c r="C148" s="354" t="s">
        <v>700</v>
      </c>
      <c r="D148" s="354" t="s">
        <v>458</v>
      </c>
      <c r="E148" s="354" t="s">
        <v>486</v>
      </c>
      <c r="F148" s="354" t="s">
        <v>511</v>
      </c>
      <c r="G148" s="354"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8"/>
      <c r="C149" s="355"/>
      <c r="D149" s="355"/>
      <c r="E149" s="355"/>
      <c r="F149" s="355"/>
      <c r="G149" s="355"/>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9"/>
      <c r="C150" s="356"/>
      <c r="D150" s="356"/>
      <c r="E150" s="356"/>
      <c r="F150" s="356"/>
      <c r="G150" s="356"/>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0.21710526315789475</v>
      </c>
      <c r="D152" s="267">
        <f t="shared" ref="D152:F153" si="53">IFERROR(D126/$H126,"0"%)</f>
        <v>4.6052631578947366E-2</v>
      </c>
      <c r="E152" s="267">
        <f t="shared" si="53"/>
        <v>0.11842105263157894</v>
      </c>
      <c r="F152" s="267">
        <f t="shared" si="53"/>
        <v>5.4824561403508769E-2</v>
      </c>
      <c r="G152" s="267">
        <f>G126/$H126</f>
        <v>0.56359649122807021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0.16506717850287908</v>
      </c>
      <c r="D153" s="267">
        <f t="shared" si="53"/>
        <v>7.293666026871401E-2</v>
      </c>
      <c r="E153" s="267">
        <f t="shared" si="53"/>
        <v>4.9904030710172742E-2</v>
      </c>
      <c r="F153" s="267">
        <f t="shared" si="53"/>
        <v>6.3339731285988479E-2</v>
      </c>
      <c r="G153" s="267">
        <f>G127/$H127</f>
        <v>0.6487523992322457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0.15</v>
      </c>
      <c r="G156" s="267">
        <f t="shared" si="54"/>
        <v>0.85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0.5</v>
      </c>
      <c r="E158" s="267">
        <f t="shared" si="55"/>
        <v>0</v>
      </c>
      <c r="F158" s="267">
        <f t="shared" si="55"/>
        <v>0</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0.87878787878787878</v>
      </c>
      <c r="D161" s="267">
        <f t="shared" si="56"/>
        <v>0</v>
      </c>
      <c r="E161" s="267">
        <f t="shared" si="56"/>
        <v>0</v>
      </c>
      <c r="F161" s="267">
        <f t="shared" si="56"/>
        <v>0</v>
      </c>
      <c r="G161" s="267">
        <f t="shared" si="56"/>
        <v>0.12121212121212122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0.27272727272727271</v>
      </c>
      <c r="D162" s="267">
        <f t="shared" si="56"/>
        <v>0.27272727272727271</v>
      </c>
      <c r="E162" s="267">
        <f t="shared" si="56"/>
        <v>0</v>
      </c>
      <c r="F162" s="267">
        <f t="shared" si="56"/>
        <v>0</v>
      </c>
      <c r="G162" s="267">
        <f t="shared" si="56"/>
        <v>0.45454545454545453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v>
      </c>
      <c r="D164" s="267">
        <f t="shared" si="57"/>
        <v>0</v>
      </c>
      <c r="E164" s="267">
        <f t="shared" si="57"/>
        <v>0</v>
      </c>
      <c r="F164" s="267">
        <f t="shared" si="57"/>
        <v>0</v>
      </c>
      <c r="G164" s="267">
        <f t="shared" si="57"/>
        <v>0.6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0.15960099750623441</v>
      </c>
      <c r="D167" s="267">
        <f t="shared" si="58"/>
        <v>4.488778054862843E-2</v>
      </c>
      <c r="E167" s="267">
        <f t="shared" si="58"/>
        <v>0.13466334164588528</v>
      </c>
      <c r="F167" s="267">
        <f t="shared" si="58"/>
        <v>6.2344139650872821E-2</v>
      </c>
      <c r="G167" s="267">
        <f t="shared" si="58"/>
        <v>0.59850374064837908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0.16666666666666666</v>
      </c>
      <c r="D168" s="267">
        <f t="shared" si="58"/>
        <v>6.2770562770562768E-2</v>
      </c>
      <c r="E168" s="267">
        <f t="shared" si="58"/>
        <v>5.627705627705628E-2</v>
      </c>
      <c r="F168" s="267">
        <f t="shared" si="58"/>
        <v>6.4935064935064929E-2</v>
      </c>
      <c r="G168" s="267">
        <f t="shared" si="58"/>
        <v>0.64935064935064934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6" t="s">
        <v>565</v>
      </c>
      <c r="C169" s="366"/>
      <c r="D169" s="366"/>
      <c r="E169" s="366"/>
      <c r="F169" s="366"/>
      <c r="G169" s="366"/>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5"/>
      <c r="C170" s="365"/>
      <c r="D170" s="365"/>
      <c r="E170" s="365"/>
      <c r="F170" s="365"/>
      <c r="G170" s="365"/>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1" t="str">
        <f>"Chart 15. "&amp;City_label&amp;" percentage of all households by income category and race, (2010 - 2014 vs 2015 - 2019)"</f>
        <v>Chart 15. North Bend percentage of all households by income category and race, (2010 - 2014 vs 2015 - 2019)</v>
      </c>
      <c r="C172" s="361"/>
      <c r="D172" s="361"/>
      <c r="E172" s="361"/>
      <c r="F172" s="361"/>
      <c r="G172" s="361"/>
      <c r="H172" s="361"/>
      <c r="I172" s="361"/>
      <c r="J172" s="361"/>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1"/>
      <c r="C173" s="361"/>
      <c r="D173" s="361"/>
      <c r="E173" s="361"/>
      <c r="F173" s="361"/>
      <c r="G173" s="361"/>
      <c r="H173" s="361"/>
      <c r="I173" s="361"/>
      <c r="J173" s="361"/>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1" sqref="I11"/>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4" t="str">
        <f>"Table 9. "&amp;City_label&amp;" count of owner and renter households by racial group, 2019"</f>
        <v>Table 9. North Bend count of owner and renter households by racial group, 2019</v>
      </c>
      <c r="C5" s="304"/>
      <c r="D5" s="304"/>
      <c r="E5" s="304"/>
      <c r="F5" s="304"/>
      <c r="G5" s="304"/>
      <c r="H5" s="304"/>
      <c r="I5" s="304"/>
      <c r="J5" s="304"/>
      <c r="K5" s="304"/>
      <c r="M5" s="289"/>
      <c r="X5" s="16" t="s">
        <v>127</v>
      </c>
      <c r="Y5" s="298" t="str">
        <f>City</f>
        <v>North Bend city, Washington</v>
      </c>
      <c r="Z5" s="298"/>
    </row>
    <row r="6" spans="2:57" ht="18" customHeight="1">
      <c r="B6" s="304"/>
      <c r="C6" s="304"/>
      <c r="D6" s="304"/>
      <c r="E6" s="304"/>
      <c r="F6" s="304"/>
      <c r="G6" s="304"/>
      <c r="H6" s="304"/>
      <c r="I6" s="304"/>
      <c r="J6" s="304"/>
      <c r="K6" s="304"/>
      <c r="X6" s="16" t="s">
        <v>128</v>
      </c>
      <c r="Y6" s="298" t="str">
        <f>County</f>
        <v>King County, Washington</v>
      </c>
      <c r="Z6" s="298"/>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North Bend</v>
      </c>
      <c r="F8" s="257"/>
      <c r="G8" s="256"/>
      <c r="H8" s="65" t="str">
        <f>City_label</f>
        <v>North Bend</v>
      </c>
      <c r="I8" s="257"/>
      <c r="J8" s="65" t="str">
        <f>County_label</f>
        <v>King County</v>
      </c>
      <c r="K8" s="257"/>
      <c r="X8" s="62" t="str">
        <f>City</f>
        <v>North Bend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39" t="s">
        <v>198</v>
      </c>
      <c r="F9" s="339" t="s">
        <v>201</v>
      </c>
      <c r="G9" s="29"/>
      <c r="H9" s="339" t="s">
        <v>703</v>
      </c>
      <c r="I9" s="339" t="s">
        <v>704</v>
      </c>
      <c r="J9" s="339" t="s">
        <v>703</v>
      </c>
      <c r="K9" s="339" t="s">
        <v>704</v>
      </c>
    </row>
    <row r="10" spans="2:57" ht="15">
      <c r="B10" s="70"/>
      <c r="C10" s="70"/>
      <c r="D10" s="35"/>
      <c r="E10" s="340"/>
      <c r="F10" s="340"/>
      <c r="G10" s="70"/>
      <c r="H10" s="340"/>
      <c r="I10" s="340"/>
      <c r="J10" s="340"/>
      <c r="K10" s="340"/>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f>IFERROR(E11/$E$18, "0%")</f>
        <v>0</v>
      </c>
      <c r="I11" s="254">
        <f>IFERROR(F11/$F$18, "0%")</f>
        <v>0</v>
      </c>
      <c r="J11" s="254">
        <f>Y66/Y51</f>
        <v>0.37367802585193888</v>
      </c>
      <c r="K11" s="254">
        <f>Y77/Y51</f>
        <v>0.62632197414806112</v>
      </c>
      <c r="X11" s="149"/>
      <c r="Y11" s="342" t="s">
        <v>187</v>
      </c>
      <c r="Z11" s="299" t="s">
        <v>146</v>
      </c>
      <c r="AA11" s="342" t="s">
        <v>140</v>
      </c>
      <c r="AB11" s="342" t="s">
        <v>158</v>
      </c>
      <c r="AC11" s="342" t="s">
        <v>152</v>
      </c>
      <c r="AD11" s="342" t="s">
        <v>188</v>
      </c>
      <c r="AE11" s="299" t="s">
        <v>137</v>
      </c>
      <c r="AF11" s="299"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95</v>
      </c>
      <c r="F12" s="253">
        <f>Z40</f>
        <v>0</v>
      </c>
      <c r="G12" s="29"/>
      <c r="H12" s="254">
        <f t="shared" ref="H12:H17" si="0">IFERROR(E12/$E$18, "0%")</f>
        <v>5.1351351351351354E-2</v>
      </c>
      <c r="I12" s="254">
        <f t="shared" ref="I12:I17" si="1">IFERROR(F12/$F$18, "0%")</f>
        <v>0</v>
      </c>
      <c r="J12" s="254">
        <f>Z66/Z51</f>
        <v>0.58982893135781256</v>
      </c>
      <c r="K12" s="254">
        <f>Z77/Z51</f>
        <v>0.41017106864218739</v>
      </c>
      <c r="X12" s="5"/>
      <c r="Y12" s="342"/>
      <c r="Z12" s="299"/>
      <c r="AA12" s="342"/>
      <c r="AB12" s="342"/>
      <c r="AC12" s="342"/>
      <c r="AD12" s="342"/>
      <c r="AE12" s="299"/>
      <c r="AF12" s="299"/>
      <c r="AG12" s="5"/>
      <c r="AH12" s="5"/>
      <c r="AI12" s="370"/>
      <c r="AJ12" s="370"/>
      <c r="AK12" s="370"/>
      <c r="AL12" s="370"/>
      <c r="AM12" s="370"/>
      <c r="AN12" s="370"/>
      <c r="AO12" s="370"/>
      <c r="AR12" s="5"/>
    </row>
    <row r="13" spans="2:57">
      <c r="B13" s="29" t="s">
        <v>140</v>
      </c>
      <c r="C13" s="29"/>
      <c r="E13" s="253">
        <f>AA29</f>
        <v>15</v>
      </c>
      <c r="F13" s="253">
        <f>AA40</f>
        <v>0</v>
      </c>
      <c r="G13" s="29"/>
      <c r="H13" s="254">
        <f t="shared" si="0"/>
        <v>8.1081081081081086E-3</v>
      </c>
      <c r="I13" s="254">
        <f t="shared" si="1"/>
        <v>0</v>
      </c>
      <c r="J13" s="254">
        <f>AA66/AA51</f>
        <v>0.27977839335180055</v>
      </c>
      <c r="K13" s="254">
        <f>AA77/AA51</f>
        <v>0.72022160664819945</v>
      </c>
      <c r="X13" s="5"/>
      <c r="Y13" s="342"/>
      <c r="Z13" s="299"/>
      <c r="AA13" s="342"/>
      <c r="AB13" s="342"/>
      <c r="AC13" s="342"/>
      <c r="AD13" s="342"/>
      <c r="AE13" s="299"/>
      <c r="AF13" s="299"/>
      <c r="AG13" s="5"/>
      <c r="AH13" s="5"/>
      <c r="AI13" s="370"/>
      <c r="AJ13" s="370"/>
      <c r="AK13" s="370"/>
      <c r="AL13" s="370"/>
      <c r="AM13" s="370"/>
      <c r="AN13" s="370"/>
      <c r="AO13" s="370"/>
      <c r="AR13" s="5"/>
    </row>
    <row r="14" spans="2:57" ht="15">
      <c r="B14" s="29" t="s">
        <v>158</v>
      </c>
      <c r="C14" s="29"/>
      <c r="E14" s="253">
        <f>AB29</f>
        <v>120</v>
      </c>
      <c r="F14" s="253">
        <f>AB40</f>
        <v>45</v>
      </c>
      <c r="G14" s="29"/>
      <c r="H14" s="254">
        <f t="shared" si="0"/>
        <v>6.4864864864864868E-2</v>
      </c>
      <c r="I14" s="254">
        <f t="shared" si="1"/>
        <v>0.06</v>
      </c>
      <c r="J14" s="254">
        <f>AB66/AB51</f>
        <v>0.34766401590457258</v>
      </c>
      <c r="K14" s="254">
        <f>AB77/AB51</f>
        <v>0.65233598409542748</v>
      </c>
      <c r="X14" s="33" t="s">
        <v>708</v>
      </c>
      <c r="Y14" s="37">
        <f t="shared" ref="Y14:AE14" si="2">SUM(Y29,Y40)</f>
        <v>0</v>
      </c>
      <c r="Z14" s="37">
        <f t="shared" si="2"/>
        <v>95</v>
      </c>
      <c r="AA14" s="37">
        <f t="shared" si="2"/>
        <v>15</v>
      </c>
      <c r="AB14" s="37">
        <f t="shared" si="2"/>
        <v>165</v>
      </c>
      <c r="AC14" s="37">
        <f t="shared" si="2"/>
        <v>15</v>
      </c>
      <c r="AD14" s="37">
        <f t="shared" si="2"/>
        <v>0</v>
      </c>
      <c r="AE14" s="37">
        <f t="shared" si="2"/>
        <v>2310</v>
      </c>
      <c r="AF14" s="2">
        <v>2600</v>
      </c>
      <c r="AG14" s="5"/>
      <c r="AH14" t="s">
        <v>203</v>
      </c>
      <c r="AI14" s="5">
        <f>AI25</f>
        <v>95</v>
      </c>
      <c r="AJ14" s="5">
        <f t="shared" ref="AJ14:AO14" si="3">AJ25</f>
        <v>15</v>
      </c>
      <c r="AK14" s="5">
        <f t="shared" si="3"/>
        <v>120</v>
      </c>
      <c r="AL14" s="5">
        <f t="shared" si="3"/>
        <v>15</v>
      </c>
      <c r="AM14" s="5">
        <f t="shared" si="3"/>
        <v>125</v>
      </c>
      <c r="AN14" s="5">
        <f t="shared" si="3"/>
        <v>1605</v>
      </c>
      <c r="AO14" s="5">
        <f t="shared" si="3"/>
        <v>1850</v>
      </c>
      <c r="AP14" s="37"/>
      <c r="AQ14" s="37"/>
      <c r="AR14" s="5"/>
    </row>
    <row r="15" spans="2:57">
      <c r="B15" s="29" t="s">
        <v>152</v>
      </c>
      <c r="C15" s="29"/>
      <c r="E15" s="253">
        <f>AC29</f>
        <v>15</v>
      </c>
      <c r="F15" s="253">
        <f>AC40</f>
        <v>0</v>
      </c>
      <c r="G15" s="29"/>
      <c r="H15" s="254">
        <f t="shared" si="0"/>
        <v>8.1081081081081086E-3</v>
      </c>
      <c r="I15" s="254">
        <f t="shared" si="1"/>
        <v>0</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45</v>
      </c>
      <c r="AL15" s="5">
        <f t="shared" si="4"/>
        <v>0</v>
      </c>
      <c r="AM15" s="5">
        <f t="shared" si="4"/>
        <v>0</v>
      </c>
      <c r="AN15" s="5">
        <f t="shared" si="4"/>
        <v>705</v>
      </c>
      <c r="AO15" s="5">
        <f t="shared" si="4"/>
        <v>750</v>
      </c>
      <c r="AP15" s="5"/>
    </row>
    <row r="16" spans="2:57" ht="15">
      <c r="B16" s="29" t="s">
        <v>188</v>
      </c>
      <c r="C16" s="29"/>
      <c r="E16" s="253">
        <f>AD29</f>
        <v>0</v>
      </c>
      <c r="F16" s="253">
        <f>AD40</f>
        <v>0</v>
      </c>
      <c r="G16" s="29"/>
      <c r="H16" s="254">
        <f t="shared" si="0"/>
        <v>0</v>
      </c>
      <c r="I16" s="254">
        <f t="shared" si="1"/>
        <v>0</v>
      </c>
      <c r="J16" s="254">
        <f>AD66/AD51</f>
        <v>0.22666666666666666</v>
      </c>
      <c r="K16" s="254">
        <f>AD77/AD51</f>
        <v>0.77333333333333332</v>
      </c>
      <c r="X16" s="33"/>
      <c r="Y16" s="5"/>
      <c r="Z16" s="5"/>
      <c r="AA16" s="5"/>
      <c r="AB16" s="5"/>
      <c r="AC16" s="5"/>
      <c r="AD16" s="5"/>
      <c r="AE16" s="251" t="s">
        <v>709</v>
      </c>
      <c r="AF16" s="5">
        <f>SUM(Y14:AE14)</f>
        <v>2600</v>
      </c>
      <c r="AG16" s="5"/>
      <c r="AH16" s="34" t="s">
        <v>150</v>
      </c>
      <c r="AI16" s="34">
        <f>Z14</f>
        <v>95</v>
      </c>
      <c r="AJ16" s="34">
        <f>AA14</f>
        <v>15</v>
      </c>
      <c r="AK16" s="37">
        <f>AB14</f>
        <v>165</v>
      </c>
      <c r="AL16" s="37">
        <f>SUM(Y14, AC14:AD14)</f>
        <v>15</v>
      </c>
      <c r="AM16" s="37">
        <f>SUM(Y14:AA14,AC14:AD14)</f>
        <v>125</v>
      </c>
      <c r="AN16" s="37">
        <f>AE14</f>
        <v>2310</v>
      </c>
      <c r="AO16" s="37">
        <f>AF14</f>
        <v>2600</v>
      </c>
      <c r="AP16" s="5"/>
    </row>
    <row r="17" spans="2:42">
      <c r="B17" s="29" t="s">
        <v>137</v>
      </c>
      <c r="C17" s="29"/>
      <c r="E17" s="281">
        <f>AE29</f>
        <v>1605</v>
      </c>
      <c r="F17" s="281">
        <f>AE40</f>
        <v>705</v>
      </c>
      <c r="G17" s="70"/>
      <c r="H17" s="254">
        <f t="shared" si="0"/>
        <v>0.86756756756756759</v>
      </c>
      <c r="I17" s="254">
        <f t="shared" si="1"/>
        <v>0.94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1850</v>
      </c>
      <c r="F18" s="258">
        <f>AF40</f>
        <v>750</v>
      </c>
      <c r="G18" s="247"/>
      <c r="H18" s="372">
        <f>IFERROR(E18/SUM(E18:F18), "0%")</f>
        <v>0.71153846153846156</v>
      </c>
      <c r="I18" s="372">
        <f>IFERROR(F18/(SUM(E18:F18)),"0 %")</f>
        <v>0.28846153846153844</v>
      </c>
      <c r="J18" s="259">
        <f>AF66/AF51</f>
        <v>0.56947609491740647</v>
      </c>
      <c r="K18" s="259">
        <f>AF77/AF51</f>
        <v>0.43052390508259358</v>
      </c>
      <c r="AE18" s="59" t="s">
        <v>708</v>
      </c>
      <c r="AF18" s="112" t="s">
        <v>711</v>
      </c>
      <c r="AG18" s="5"/>
      <c r="AH18" t="s">
        <v>203</v>
      </c>
      <c r="AI18" s="6">
        <f>AI14/AI$16</f>
        <v>1</v>
      </c>
      <c r="AJ18" s="6">
        <f t="shared" ref="AJ18:AO18" si="5">AJ14/AJ$16</f>
        <v>1</v>
      </c>
      <c r="AK18" s="6">
        <f t="shared" si="5"/>
        <v>0.72727272727272729</v>
      </c>
      <c r="AL18" s="6">
        <f t="shared" si="5"/>
        <v>1</v>
      </c>
      <c r="AM18" s="6">
        <f t="shared" si="5"/>
        <v>1</v>
      </c>
      <c r="AN18" s="6">
        <f t="shared" si="5"/>
        <v>0.69480519480519476</v>
      </c>
      <c r="AO18" s="6">
        <f t="shared" si="5"/>
        <v>0.71153846153846156</v>
      </c>
      <c r="AP18" s="5"/>
    </row>
    <row r="19" spans="2:42" ht="15">
      <c r="B19" s="334" t="s">
        <v>712</v>
      </c>
      <c r="C19" s="334"/>
      <c r="D19" s="334"/>
      <c r="E19" s="334"/>
      <c r="F19" s="334"/>
      <c r="G19" s="334"/>
      <c r="H19" s="334"/>
      <c r="I19" s="334"/>
      <c r="J19" s="334"/>
      <c r="K19" s="334"/>
      <c r="AG19" s="5"/>
      <c r="AH19" s="33" t="s">
        <v>243</v>
      </c>
      <c r="AI19" s="6">
        <f>AI15/AI$16</f>
        <v>0</v>
      </c>
      <c r="AJ19" s="6">
        <f t="shared" ref="AJ19:AO19" si="6">AJ15/AJ$16</f>
        <v>0</v>
      </c>
      <c r="AK19" s="6">
        <f t="shared" si="6"/>
        <v>0.27272727272727271</v>
      </c>
      <c r="AL19" s="6">
        <f t="shared" si="6"/>
        <v>0</v>
      </c>
      <c r="AM19" s="6">
        <f t="shared" si="6"/>
        <v>0</v>
      </c>
      <c r="AN19" s="6">
        <f t="shared" si="6"/>
        <v>0.30519480519480519</v>
      </c>
      <c r="AO19" s="6">
        <f t="shared" si="6"/>
        <v>0.28846153846153844</v>
      </c>
      <c r="AP19" s="37"/>
    </row>
    <row r="20" spans="2:42">
      <c r="B20" s="334"/>
      <c r="C20" s="334"/>
      <c r="D20" s="334"/>
      <c r="E20" s="334"/>
      <c r="F20" s="334"/>
      <c r="G20" s="334"/>
      <c r="H20" s="334"/>
      <c r="I20" s="334"/>
      <c r="J20" s="334"/>
      <c r="K20" s="334"/>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4" t="str">
        <f>"Chart 16. "&amp;City_label&amp;" total number of owner and renter households by race and ethnicity, 2019"</f>
        <v>Chart 16. North Bend total number of owner and renter households by race and ethnicity, 2019</v>
      </c>
      <c r="C22" s="304"/>
      <c r="D22" s="304"/>
      <c r="E22" s="304"/>
      <c r="F22" s="304"/>
      <c r="G22" s="304"/>
      <c r="H22" s="304"/>
      <c r="I22" s="304"/>
      <c r="J22" s="304"/>
      <c r="K22" s="304"/>
      <c r="X22" s="149" t="s">
        <v>421</v>
      </c>
      <c r="AG22" s="5"/>
      <c r="AH22" s="149" t="s">
        <v>203</v>
      </c>
      <c r="AI22" s="37"/>
      <c r="AJ22" s="5"/>
      <c r="AK22" s="5"/>
      <c r="AL22" s="5"/>
      <c r="AM22" s="5"/>
      <c r="AN22" s="5"/>
      <c r="AO22" s="5"/>
      <c r="AP22" s="5"/>
    </row>
    <row r="23" spans="2:42" ht="18" customHeight="1">
      <c r="B23" s="304"/>
      <c r="C23" s="304"/>
      <c r="D23" s="304"/>
      <c r="E23" s="304"/>
      <c r="F23" s="304"/>
      <c r="G23" s="304"/>
      <c r="H23" s="304"/>
      <c r="I23" s="304"/>
      <c r="J23" s="304"/>
      <c r="K23" s="304"/>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95</v>
      </c>
      <c r="AJ25" s="37">
        <f>AA29</f>
        <v>15</v>
      </c>
      <c r="AK25" s="37">
        <f>AB29</f>
        <v>120</v>
      </c>
      <c r="AL25" s="37">
        <f>SUM(Y29,AC29:AD29)</f>
        <v>15</v>
      </c>
      <c r="AM25" s="37">
        <f>SUM(Y29:AA29,AC29:AD29)</f>
        <v>125</v>
      </c>
      <c r="AN25" s="37">
        <f>AE29</f>
        <v>1605</v>
      </c>
      <c r="AO25" s="37">
        <f>AF29</f>
        <v>1850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95</v>
      </c>
      <c r="AA29" s="2">
        <v>15</v>
      </c>
      <c r="AB29" s="2">
        <v>120</v>
      </c>
      <c r="AC29" s="2">
        <v>15</v>
      </c>
      <c r="AD29" s="2">
        <v>0</v>
      </c>
      <c r="AE29" s="2">
        <v>1605</v>
      </c>
      <c r="AF29" s="2">
        <v>1850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45</v>
      </c>
      <c r="AL36" s="37">
        <f>SUM(Y40, AC40:AD40)</f>
        <v>0</v>
      </c>
      <c r="AM36" s="37">
        <f>SUM(Y40:AA40,AC40:AD40)</f>
        <v>0</v>
      </c>
      <c r="AN36" s="37">
        <f>AE40</f>
        <v>705</v>
      </c>
      <c r="AO36" s="37">
        <f>AF40</f>
        <v>750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45</v>
      </c>
      <c r="AC40" s="2">
        <v>0</v>
      </c>
      <c r="AD40" s="2">
        <v>0</v>
      </c>
      <c r="AE40" s="2">
        <v>705</v>
      </c>
      <c r="AF40" s="2">
        <v>750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4" t="str">
        <f>"Chart 16a. "&amp;City_label&amp;" total number of owner and renter households by race and ethnicity, 2019"</f>
        <v>Chart 16a. North Bend total number of owner and renter households by race and ethnicity, 2019</v>
      </c>
      <c r="C47" s="304"/>
      <c r="D47" s="304"/>
      <c r="E47" s="304"/>
      <c r="F47" s="304"/>
      <c r="G47" s="304"/>
      <c r="H47" s="304"/>
      <c r="I47" s="304"/>
      <c r="J47" s="304"/>
      <c r="K47" s="304"/>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4"/>
      <c r="C48" s="304"/>
      <c r="D48" s="304"/>
      <c r="E48" s="304"/>
      <c r="F48" s="304"/>
      <c r="G48" s="304"/>
      <c r="H48" s="304"/>
      <c r="I48" s="304"/>
      <c r="J48" s="304"/>
      <c r="K48" s="304"/>
      <c r="X48" s="149"/>
      <c r="Y48" s="342" t="s">
        <v>187</v>
      </c>
      <c r="Z48" s="299" t="s">
        <v>146</v>
      </c>
      <c r="AA48" s="342" t="s">
        <v>140</v>
      </c>
      <c r="AB48" s="342" t="s">
        <v>158</v>
      </c>
      <c r="AC48" s="342" t="s">
        <v>152</v>
      </c>
      <c r="AD48" s="342" t="s">
        <v>188</v>
      </c>
      <c r="AE48" s="299" t="s">
        <v>137</v>
      </c>
      <c r="AF48" s="299" t="s">
        <v>190</v>
      </c>
      <c r="AG48" s="5"/>
      <c r="AH48" s="37"/>
      <c r="AI48" s="370" t="s">
        <v>146</v>
      </c>
      <c r="AJ48" s="370" t="s">
        <v>140</v>
      </c>
      <c r="AK48" s="370" t="s">
        <v>710</v>
      </c>
      <c r="AL48" s="370" t="s">
        <v>152</v>
      </c>
      <c r="AM48" s="370" t="s">
        <v>707</v>
      </c>
      <c r="AN48" s="370" t="s">
        <v>137</v>
      </c>
      <c r="AO48" s="370" t="s">
        <v>190</v>
      </c>
    </row>
    <row r="49" spans="24:44" ht="21" customHeight="1">
      <c r="X49" s="5"/>
      <c r="Y49" s="342"/>
      <c r="Z49" s="299"/>
      <c r="AA49" s="342"/>
      <c r="AB49" s="342"/>
      <c r="AC49" s="342"/>
      <c r="AD49" s="342"/>
      <c r="AE49" s="299"/>
      <c r="AF49" s="299"/>
      <c r="AG49" s="5"/>
      <c r="AH49" s="5"/>
      <c r="AI49" s="370"/>
      <c r="AJ49" s="370"/>
      <c r="AK49" s="370"/>
      <c r="AL49" s="370"/>
      <c r="AM49" s="370"/>
      <c r="AN49" s="370"/>
      <c r="AO49" s="370"/>
    </row>
    <row r="50" spans="24:44" ht="13.9" customHeight="1">
      <c r="X50" s="5"/>
      <c r="Y50" s="342"/>
      <c r="Z50" s="299"/>
      <c r="AA50" s="342"/>
      <c r="AB50" s="342"/>
      <c r="AC50" s="342"/>
      <c r="AD50" s="342"/>
      <c r="AE50" s="299"/>
      <c r="AF50" s="299"/>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4" t="str">
        <f>"Chart 17. "&amp;City_label&amp;" percent owner and renter households by race and ethnicity, 2019 "</f>
        <v xml:space="preserve">Chart 17. North Bend percent owner and renter households by race and ethnicity, 2019 </v>
      </c>
      <c r="C69" s="304"/>
      <c r="D69" s="304"/>
      <c r="E69" s="304"/>
      <c r="F69" s="304"/>
      <c r="G69" s="304"/>
      <c r="H69" s="304"/>
      <c r="I69" s="304"/>
      <c r="J69" s="304"/>
      <c r="K69" s="304"/>
      <c r="AH69" s="5"/>
      <c r="AI69" s="5"/>
      <c r="AJ69" s="5"/>
      <c r="AK69" s="5"/>
      <c r="AL69" s="5"/>
      <c r="AM69" s="5"/>
      <c r="AN69" s="5"/>
      <c r="AO69" s="5"/>
      <c r="AP69" s="5"/>
    </row>
    <row r="70" spans="2:42" ht="18.75" customHeight="1">
      <c r="B70" s="304"/>
      <c r="C70" s="304"/>
      <c r="D70" s="304"/>
      <c r="E70" s="304"/>
      <c r="F70" s="304"/>
      <c r="G70" s="304"/>
      <c r="H70" s="304"/>
      <c r="I70" s="304"/>
      <c r="J70" s="304"/>
      <c r="K70" s="304"/>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4" t="str">
        <f>"Chart 17a. "&amp;City_label&amp;" percent owner and renter households by race and ethnicity, 2019 "</f>
        <v xml:space="preserve">Chart 17a. North Bend percent owner and renter households by race and ethnicity, 2019 </v>
      </c>
      <c r="C95" s="304"/>
      <c r="D95" s="304"/>
      <c r="E95" s="304"/>
      <c r="F95" s="304"/>
      <c r="G95" s="304"/>
      <c r="H95" s="304"/>
      <c r="I95" s="304"/>
      <c r="J95" s="304"/>
      <c r="K95" s="304"/>
    </row>
    <row r="96" spans="2:12" ht="18" customHeight="1">
      <c r="B96" s="304"/>
      <c r="C96" s="304"/>
      <c r="D96" s="304"/>
      <c r="E96" s="304"/>
      <c r="F96" s="304"/>
      <c r="G96" s="304"/>
      <c r="H96" s="304"/>
      <c r="I96" s="304"/>
      <c r="J96" s="304"/>
      <c r="K96" s="304"/>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schemas.microsoft.com/office/infopath/2007/PartnerControls"/>
    <ds:schemaRef ds:uri="08070d79-41db-40ac-93d9-3fd8f1a76dba"/>
    <ds:schemaRef ds:uri="http://purl.org/dc/elements/1.1/"/>
    <ds:schemaRef ds:uri="http://schemas.microsoft.com/office/2006/documentManagement/types"/>
    <ds:schemaRef ds:uri="http://www.w3.org/XML/1998/namespace"/>
    <ds:schemaRef ds:uri="http://purl.org/dc/dcmitype/"/>
    <ds:schemaRef ds:uri="8556b74b-f608-4f00-b474-15eeb07aa725"/>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