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<sst xmlns="http://schemas.openxmlformats.org/spreadsheetml/2006/main" count="5379" uniqueCount="2858">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</sst>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6CE0FDA2-3BC0-48A5-87D2-FDA18BF172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D515DBE-6B66-45FA-9DFE-07CF9F3241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5AE00A1-29D6-441A-81CB-FE63F636A8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2D5CAD9-3B7B-4250-A267-295DD202D5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17E0969-03D2-4FD5-B1A6-B7953F6BB5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4</c:v>
                </c:pt>
                <c:pt idx="2">
                  <c:v>0</c:v>
                </c:pt>
                <c:pt idx="3">
                  <c:v>4</c:v>
                </c:pt>
                <c:pt idx="4">
                  <c:v>496</c:v>
                </c:pt>
              </c:numCache>
            </c:numRef>
          </c:val>
          <c:extLst>
            <c:ext xmlns:c15="http://schemas.microsoft.com/office/drawing/2012/chart" uri="{02D57815-91ED-43cb-92C2-25804820EDAC}">
              <c15:datalabelsRange>
                <c15:f>'Racial Composition'!$AI$26:$AI$30</c15:f>
                <c15:dlblRangeCache>
                  <c:ptCount val="5"/>
                  <c:pt idx="0">
                    <c:v>0
(0%)</c:v>
                  </c:pt>
                  <c:pt idx="1">
                    <c:v>4
(1%)</c:v>
                  </c:pt>
                  <c:pt idx="2">
                    <c:v>0
(0%)</c:v>
                  </c:pt>
                  <c:pt idx="3">
                    <c:v>4
(1%)</c:v>
                  </c:pt>
                  <c:pt idx="4">
                    <c:v>496
(98%)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Wilkeson</c:v>
                </c:pt>
                <c:pt idx="1">
                  <c:v>Pierce County</c:v>
                </c:pt>
              </c:strCache>
            </c:strRef>
          </c:cat>
          <c:val>
            <c:numRef>
              <c:f>('Racial Composition'!$AH$30,'Racial Composition'!$AN$30)</c:f>
              <c:numCache>
                <c:formatCode>0%</c:formatCode>
                <c:ptCount val="2"/>
                <c:pt idx="0">
                  <c:v>0.98412698412698407</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Wilkeson</c:v>
                </c:pt>
                <c:pt idx="1">
                  <c:v>Pierce County</c:v>
                </c:pt>
              </c:strCache>
            </c:strRef>
          </c:cat>
          <c:val>
            <c:numRef>
              <c:f>('Racial Composition'!$AH$29,'Racial Composition'!$AN$29)</c:f>
              <c:numCache>
                <c:formatCode>0%</c:formatCode>
                <c:ptCount val="2"/>
                <c:pt idx="0">
                  <c:v>7.9365079365079361E-3</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Wilkeson</c:v>
                </c:pt>
                <c:pt idx="1">
                  <c:v>Pierce County</c:v>
                </c:pt>
              </c:strCache>
            </c:strRef>
          </c:cat>
          <c:val>
            <c:numRef>
              <c:f>('Racial Composition'!$AH$28,'Racial Composition'!$AN$28)</c:f>
              <c:numCache>
                <c:formatCode>0%</c:formatCode>
                <c:ptCount val="2"/>
                <c:pt idx="0">
                  <c:v>0</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Wilkeson</c:v>
                </c:pt>
                <c:pt idx="1">
                  <c:v>Pierce County</c:v>
                </c:pt>
              </c:strCache>
            </c:strRef>
          </c:cat>
          <c:val>
            <c:numRef>
              <c:f>('Racial Composition'!$AH$27,'Racial Composition'!$AN$27)</c:f>
              <c:numCache>
                <c:formatCode>0%</c:formatCode>
                <c:ptCount val="2"/>
                <c:pt idx="0">
                  <c:v>7.9365079365079361E-3</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Wilkeson</c:v>
                </c:pt>
                <c:pt idx="1">
                  <c:v>Pierce County</c:v>
                </c:pt>
              </c:strCache>
            </c:strRef>
          </c:cat>
          <c:val>
            <c:numRef>
              <c:f>('Racial Composition'!$AH$26,'Racial Composition'!$AN$26)</c:f>
              <c:numCache>
                <c:formatCode>0%</c:formatCode>
                <c:ptCount val="2"/>
                <c:pt idx="0">
                  <c:v>0</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Wilkeson</c:v>
                  </c:pt>
                  <c:pt idx="2">
                    <c:v>Pierce County</c:v>
                  </c:pt>
                </c:lvl>
              </c:multiLvlStrCache>
            </c:multiLvlStrRef>
          </c:cat>
          <c:val>
            <c:numRef>
              <c:f>('Racial Composition'!$AG$39:$AH$39,'Racial Composition'!$AM$39:$AN$39)</c:f>
              <c:numCache>
                <c:formatCode>0%</c:formatCode>
                <c:ptCount val="4"/>
                <c:pt idx="0">
                  <c:v>0.94827586206896552</c:v>
                </c:pt>
                <c:pt idx="1">
                  <c:v>0.98412698412698407</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Wilkeson</c:v>
                  </c:pt>
                  <c:pt idx="2">
                    <c:v>Pierce County</c:v>
                  </c:pt>
                </c:lvl>
              </c:multiLvlStrCache>
            </c:multiLvlStrRef>
          </c:cat>
          <c:val>
            <c:numRef>
              <c:f>('Racial Composition'!$AG$38:$AH$38,'Racial Composition'!$AM$38:$AN$38)</c:f>
              <c:numCache>
                <c:formatCode>0%</c:formatCode>
                <c:ptCount val="4"/>
                <c:pt idx="0">
                  <c:v>4.1871921182266007E-2</c:v>
                </c:pt>
                <c:pt idx="1">
                  <c:v>1.5873015873015872E-2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Wilkeson</c:v>
                  </c:pt>
                  <c:pt idx="2">
                    <c:v>Pierce County</c:v>
                  </c:pt>
                </c:lvl>
              </c:multiLvlStrCache>
            </c:multiLvlStrRef>
          </c:cat>
          <c:val>
            <c:numRef>
              <c:f>('Racial Composition'!$AG$37:$AH$37,'Racial Composition'!$AM$37:$AN$37)</c:f>
              <c:numCache>
                <c:formatCode>0%</c:formatCode>
                <c:ptCount val="4"/>
                <c:pt idx="0">
                  <c:v>9.852216748768473E-3</c:v>
                </c:pt>
                <c:pt idx="1">
                  <c:v>0</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027F9C4E-38EB-44DD-8096-2E16455BA9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CE3868F-70B2-435A-B489-8E750A8639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8CB25E43-F0F9-4B85-8FDC-D68BB106D2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8</c:v>
                </c:pt>
                <c:pt idx="2">
                  <c:v>496</c:v>
                </c:pt>
              </c:numCache>
            </c:numRef>
          </c:val>
          <c:extLst>
            <c:ext xmlns:c15="http://schemas.microsoft.com/office/drawing/2012/chart" uri="{02D57815-91ED-43cb-92C2-25804820EDAC}">
              <c15:datalabelsRange>
                <c15:f>'Racial Composition'!$AI$37:$AI$39</c15:f>
                <c15:dlblRangeCache>
                  <c:ptCount val="3"/>
                  <c:pt idx="0">
                    <c:v>0
(0%)</c:v>
                  </c:pt>
                  <c:pt idx="1">
                    <c:v>8
(2%)</c:v>
                  </c:pt>
                  <c:pt idx="2">
                    <c:v>496
(98%)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Wilkeson</c:v>
                </c:pt>
                <c:pt idx="1">
                  <c:v>Pierce County</c:v>
                </c:pt>
              </c:strCache>
            </c:strRef>
          </c:cat>
          <c:val>
            <c:numRef>
              <c:f>('Racial Composition'!$AH$39,'Racial Composition'!$AN$39)</c:f>
              <c:numCache>
                <c:formatCode>0%</c:formatCode>
                <c:ptCount val="2"/>
                <c:pt idx="0">
                  <c:v>0.98412698412698407</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Wilkeson</c:v>
                </c:pt>
                <c:pt idx="1">
                  <c:v>Pierce County</c:v>
                </c:pt>
              </c:strCache>
            </c:strRef>
          </c:cat>
          <c:val>
            <c:numRef>
              <c:f>('Racial Composition'!$AH$38,'Racial Composition'!$AN$38)</c:f>
              <c:numCache>
                <c:formatCode>0%</c:formatCode>
                <c:ptCount val="2"/>
                <c:pt idx="0">
                  <c:v>1.5873015873015872E-2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Wilkeson</c:v>
                </c:pt>
                <c:pt idx="1">
                  <c:v>Pierce County</c:v>
                </c:pt>
              </c:strCache>
            </c:strRef>
          </c:cat>
          <c:val>
            <c:numRef>
              <c:f>('Racial Composition'!$AH$37,'Racial Composition'!$AN$37)</c:f>
              <c:numCache>
                <c:formatCode>0%</c:formatCode>
                <c:ptCount val="2"/>
                <c:pt idx="0">
                  <c:v>0</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4</c:v>
                </c:pt>
                <c:pt idx="4">
                  <c:v>115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7.407407407407407E-2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0.31746031746031744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1</c:v>
                </c:pt>
                <c:pt idx="5">
                  <c:v>0.60846560846560849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0.18181818181818182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0.45454545454545453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0.45454545454545453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4</c:v>
                </c:pt>
                <c:pt idx="2">
                  <c:v>115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7.407407407407407E-2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0.31746031746031744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0.60846560846560849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7.407407407407407E-2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0.31746031746031744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1</c:v>
                </c:pt>
                <c:pt idx="4">
                  <c:v>1</c:v>
                </c:pt>
                <c:pt idx="5">
                  <c:v>0.60846560846560849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7.407407407407407E-2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0.31746031746031744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0.60846560846560849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0.18181818181818182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0.45454545454545453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0.45454545454545453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0.18181818181818182</c:v>
                </c:pt>
                <c:pt idx="1">
                  <c:v>6.25E-2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7.2727272727272724E-2</c:v>
                </c:pt>
                <c:pt idx="1">
                  <c:v>0.15625</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0.27272727272727271</c:v>
                </c:pt>
                <c:pt idx="1">
                  <c:v>0.625</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0.54545454545454541</c:v>
                </c:pt>
                <c:pt idx="1">
                  <c:v>0.15625</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c:v>
                </c:pt>
                <c:pt idx="1">
                  <c:v>0</c:v>
                </c:pt>
                <c:pt idx="2">
                  <c:v>11</c:v>
                </c:pt>
                <c:pt idx="3">
                  <c:v>31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6</c:v>
                </c:pt>
                <c:pt idx="2">
                  <c:v>25</c:v>
                </c:pt>
                <c:pt idx="3">
                  <c:v>49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21F34A5-B79B-4FB9-91E5-9C027452FF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9D39719-B8C7-499D-9AE6-CB8FC4570E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73098E4-2314-468C-856B-CBB6321F17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81505E5-4084-4AE9-BC8C-C3C6F7A5E7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12.2</c:v>
                </c:pt>
                <c:pt idx="1">
                  <c:v>12.2</c:v>
                </c:pt>
                <c:pt idx="2">
                  <c:v>31.2</c:v>
                </c:pt>
                <c:pt idx="3">
                  <c:v>55.2</c:v>
                </c:pt>
              </c:numCache>
            </c:numRef>
          </c:val>
          <c:smooth val="0"/>
          <c:extLst>
            <c:ext xmlns:c15="http://schemas.microsoft.com/office/drawing/2012/chart" uri="{02D57815-91ED-43cb-92C2-25804820EDAC}">
              <c15:datalabelsRange>
                <c15:f>'Rental Affordability'!$AI$78:$AI$81</c15:f>
                <c15:dlblRangeCache>
                  <c:ptCount val="4"/>
                  <c:pt idx="0">
                    <c:v>Difference:
-6 units</c:v>
                  </c:pt>
                  <c:pt idx="1">
                    <c:v>Difference:
+6 units</c:v>
                  </c:pt>
                  <c:pt idx="2">
                    <c:v>Difference:
+14 units</c:v>
                  </c:pt>
                  <c:pt idx="3">
                    <c:v>Difference:
+18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4</c:v>
                </c:pt>
                <c:pt idx="2">
                  <c:v>15</c:v>
                </c:pt>
                <c:pt idx="3">
                  <c:v>30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10</c:v>
                </c:pt>
                <c:pt idx="2">
                  <c:v>40</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F5819FD-C4FF-4EDE-A767-8FAB288A50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96B201A6-100B-4D54-965F-8F222031A3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86EA65A-114D-4B23-9676-1571DB4862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B9C78C9-BC07-4512-9BD3-73783D975F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11.5</c:v>
                </c:pt>
                <c:pt idx="1">
                  <c:v>11.5</c:v>
                </c:pt>
                <c:pt idx="2">
                  <c:v>41.5</c:v>
                </c:pt>
                <c:pt idx="3">
                  <c:v>31.5</c:v>
                </c:pt>
              </c:numCache>
            </c:numRef>
          </c:val>
          <c:smooth val="0"/>
          <c:extLst>
            <c:ext xmlns:c15="http://schemas.microsoft.com/office/drawing/2012/chart" uri="{02D57815-91ED-43cb-92C2-25804820EDAC}">
              <c15:datalabelsRange>
                <c15:f>'Rental Affordability'!$AI$35:$AI$38</c15:f>
                <c15:dlblRangeCache>
                  <c:ptCount val="4"/>
                  <c:pt idx="0">
                    <c:v>Shortfall:
-6 units</c:v>
                  </c:pt>
                  <c:pt idx="1">
                    <c:v>Surplus: 
+6 units</c:v>
                  </c:pt>
                  <c:pt idx="2">
                    <c:v>Surplus: 
+25 units</c:v>
                  </c:pt>
                  <c:pt idx="3">
                    <c:v>Shortfall:
-20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0.10050251256281408</c:v>
                </c:pt>
                <c:pt idx="5">
                  <c:v>9.8039215686274508E-2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8.0402010050251257E-2</c:v>
                </c:pt>
                <c:pt idx="5">
                  <c:v>7.8431372549019607E-2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0.22613065326633167</c:v>
                </c:pt>
                <c:pt idx="5">
                  <c:v>0.22058823529411764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0.16582914572864321</c:v>
                </c:pt>
                <c:pt idx="5">
                  <c:v>0.16176470588235295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0.42713567839195982</c:v>
                </c:pt>
                <c:pt idx="5">
                  <c:v>0.44117647058823528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16</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45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33</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85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0.10050251256281408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8.0402010050251257E-2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0.22613065326633167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0.16582914572864321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1</c:v>
                </c:pt>
                <c:pt idx="2">
                  <c:v>0.42713567839195982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16</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45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33</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5</c:v>
                </c:pt>
                <c:pt idx="2">
                  <c:v>85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6.4864864864864868E-2</c:v>
                </c:pt>
                <c:pt idx="2">
                  <c:v>9.8039215686274508E-2</c:v>
                </c:pt>
                <c:pt idx="4">
                  <c:v>0</c:v>
                </c:pt>
                <c:pt idx="5">
                  <c:v>0</c:v>
                </c:pt>
                <c:pt idx="7">
                  <c:v>0</c:v>
                </c:pt>
                <c:pt idx="8">
                  <c:v>0</c:v>
                </c:pt>
                <c:pt idx="10">
                  <c:v>0.5</c:v>
                </c:pt>
                <c:pt idx="11">
                  <c:v>0</c:v>
                </c:pt>
                <c:pt idx="13">
                  <c:v>0</c:v>
                </c:pt>
                <c:pt idx="14">
                  <c:v>0</c:v>
                </c:pt>
                <c:pt idx="16">
                  <c:v>4.4198895027624308E-2</c:v>
                </c:pt>
                <c:pt idx="17">
                  <c:v>0.10050251256281408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0.12432432432432433</c:v>
                </c:pt>
                <c:pt idx="2">
                  <c:v>7.8431372549019607E-2</c:v>
                </c:pt>
                <c:pt idx="4">
                  <c:v>0</c:v>
                </c:pt>
                <c:pt idx="5">
                  <c:v>0</c:v>
                </c:pt>
                <c:pt idx="7">
                  <c:v>0</c:v>
                </c:pt>
                <c:pt idx="8">
                  <c:v>0</c:v>
                </c:pt>
                <c:pt idx="10">
                  <c:v>0.5</c:v>
                </c:pt>
                <c:pt idx="11">
                  <c:v>0</c:v>
                </c:pt>
                <c:pt idx="13">
                  <c:v>0</c:v>
                </c:pt>
                <c:pt idx="14">
                  <c:v>0</c:v>
                </c:pt>
                <c:pt idx="16">
                  <c:v>0.1270718232044199</c:v>
                </c:pt>
                <c:pt idx="17">
                  <c:v>8.0402010050251257E-2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0.11891891891891893</c:v>
                </c:pt>
                <c:pt idx="2">
                  <c:v>0.22058823529411764</c:v>
                </c:pt>
                <c:pt idx="4">
                  <c:v>0</c:v>
                </c:pt>
                <c:pt idx="5">
                  <c:v>0</c:v>
                </c:pt>
                <c:pt idx="7">
                  <c:v>0</c:v>
                </c:pt>
                <c:pt idx="8">
                  <c:v>0</c:v>
                </c:pt>
                <c:pt idx="10">
                  <c:v>0</c:v>
                </c:pt>
                <c:pt idx="11">
                  <c:v>0</c:v>
                </c:pt>
                <c:pt idx="13">
                  <c:v>0</c:v>
                </c:pt>
                <c:pt idx="14">
                  <c:v>0</c:v>
                </c:pt>
                <c:pt idx="16">
                  <c:v>0.12154696132596685</c:v>
                </c:pt>
                <c:pt idx="17">
                  <c:v>0.22613065326633167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0.18378378378378379</c:v>
                </c:pt>
                <c:pt idx="2">
                  <c:v>0.16176470588235295</c:v>
                </c:pt>
                <c:pt idx="4">
                  <c:v>0</c:v>
                </c:pt>
                <c:pt idx="5">
                  <c:v>0</c:v>
                </c:pt>
                <c:pt idx="7">
                  <c:v>0</c:v>
                </c:pt>
                <c:pt idx="8">
                  <c:v>0</c:v>
                </c:pt>
                <c:pt idx="10">
                  <c:v>0</c:v>
                </c:pt>
                <c:pt idx="11">
                  <c:v>0</c:v>
                </c:pt>
                <c:pt idx="13">
                  <c:v>0</c:v>
                </c:pt>
                <c:pt idx="14">
                  <c:v>0</c:v>
                </c:pt>
                <c:pt idx="16">
                  <c:v>0.18784530386740331</c:v>
                </c:pt>
                <c:pt idx="17">
                  <c:v>0.16582914572864321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0.50810810810810814</c:v>
                </c:pt>
                <c:pt idx="2">
                  <c:v>0.44117647058823528</c:v>
                </c:pt>
                <c:pt idx="4">
                  <c:v>0</c:v>
                </c:pt>
                <c:pt idx="5">
                  <c:v>0</c:v>
                </c:pt>
                <c:pt idx="7">
                  <c:v>0</c:v>
                </c:pt>
                <c:pt idx="8">
                  <c:v>0</c:v>
                </c:pt>
                <c:pt idx="10">
                  <c:v>0</c:v>
                </c:pt>
                <c:pt idx="11">
                  <c:v>0</c:v>
                </c:pt>
                <c:pt idx="13">
                  <c:v>0</c:v>
                </c:pt>
                <c:pt idx="14">
                  <c:v>1</c:v>
                </c:pt>
                <c:pt idx="16">
                  <c:v>0.51933701657458564</c:v>
                </c:pt>
                <c:pt idx="17">
                  <c:v>0.42713567839195982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125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125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55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0.69444444444444442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0.30555555555555558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0.69444444444444442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0.30555555555555558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Wilkeson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2041</v>
      </c>
    </row>
    <row r="7" spans="2:10" ht="20.25">
      <c r="B7" s="9"/>
      <c r="C7" s="48" t="s">
        <v>770</v>
      </c>
    </row>
    <row r="8" spans="2:10" ht="20.25">
      <c r="B8" s="8" t="s">
        <v>9</v>
      </c>
      <c r="C8" s="45" t="str">
        <f>IFERROR(INDEX(GEOID[GEO_ID],MATCH(City,GEOID[NAME],0)),"(not found)")</f>
        <v>1600000US5378925</v>
      </c>
    </row>
    <row r="9" spans="2:10" ht="20.25">
      <c r="B9" s="8"/>
      <c r="C9" s="45" t="str">
        <f>IFERROR(INDEX(GEOID[GEO_ID],MATCH(County,GEOID[NAME],0)),"(not found)")</f>
        <v>0500000US53053</v>
      </c>
    </row>
    <row r="11" spans="2:10" ht="20.25">
      <c r="B11" s="8" t="s">
        <v>10</v>
      </c>
      <c r="C11" s="49" t="str">
        <f>IFERROR(INDEX(WA_CDPs[GEO_ID_CHAS],MATCH(City,WA_CDPs[NAME],0)),"(not found)")</f>
        <v>16000US5378925</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Wilkeson</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Wilkeson and Pierce County, 2015 and 2020</v>
      </c>
      <c r="E76" s="7" t="s">
        <v>105</v>
      </c>
      <c r="H76" s="42" t="s">
        <v>27</v>
      </c>
    </row>
    <row r="77" spans="2:10">
      <c r="B77" s="7" t="str">
        <f>'Racial Composition'!C74</f>
        <v>Table 2. Racial composition percentage of Wilkeson and Pierce County 2015 and 2020</v>
      </c>
      <c r="E77" s="7" t="s">
        <v>105</v>
      </c>
    </row>
    <row r="78" spans="2:10">
      <c r="B78" s="7" t="str">
        <f>'Cost Burden'!C4</f>
        <v>Table 3. Wilkeson number of households by housing cost burden, 2019</v>
      </c>
      <c r="E78" s="7" t="s">
        <v>106</v>
      </c>
    </row>
    <row r="79" spans="2:10">
      <c r="B79" s="7" t="str">
        <f>'Cost Burden'!C173</f>
        <v>Table 4. Wilkeson percentage of households by housing cost burden, 2019</v>
      </c>
      <c r="E79" s="7" t="s">
        <v>106</v>
      </c>
    </row>
    <row r="80" spans="2:10">
      <c r="B80" s="7" t="str">
        <f>'Rental Affordability'!C5</f>
        <v>Table 5. Wilkeson and Pierce County rental units by affordability and households by income, 2019</v>
      </c>
      <c r="E80" s="7" t="s">
        <v>107</v>
      </c>
    </row>
    <row r="81" spans="2:5">
      <c r="B81" s="7" t="str">
        <f>Income!B6</f>
        <v>Table 6. Wilkeson count of households by income and race, 2019</v>
      </c>
      <c r="E81" s="7" t="s">
        <v>108</v>
      </c>
    </row>
    <row r="82" spans="2:5">
      <c r="B82" s="7" t="str">
        <f>Income!B119</f>
        <v>Table 7. Wilkeson five year change in households by income and race, 2014 - 2019</v>
      </c>
      <c r="E82" s="7" t="s">
        <v>108</v>
      </c>
    </row>
    <row r="83" spans="2:5">
      <c r="B83" s="7" t="str">
        <f>Income!B146</f>
        <v>Table 8. Wilkeson five year change in distribution of households by income and race, 2014 - 2019</v>
      </c>
      <c r="E83" s="7" t="s">
        <v>108</v>
      </c>
    </row>
    <row r="84" spans="2:5">
      <c r="B84" s="7" t="str">
        <f>Tenure!B5</f>
        <v>Table 9. Wilkeson count of owner and renter households by racial group, 2019</v>
      </c>
      <c r="E84" s="7" t="s">
        <v>109</v>
      </c>
    </row>
    <row r="86" spans="2:5" ht="15">
      <c r="B86" s="291" t="s">
        <v>110</v>
      </c>
      <c r="C86" s="291"/>
      <c r="D86" s="291"/>
      <c r="E86" s="291"/>
    </row>
    <row r="87" spans="2:5">
      <c r="B87" s="10" t="s">
        <v>111</v>
      </c>
    </row>
    <row r="88" spans="2:5">
      <c r="B88" s="7" t="str">
        <f>'Racial Composition'!C29</f>
        <v>Chart 1. Wilkeson population by race and Hispanic or Latino ethnicity, 2020</v>
      </c>
      <c r="E88" s="7" t="s">
        <v>105</v>
      </c>
    </row>
    <row r="89" spans="2:5">
      <c r="B89" s="7" t="str">
        <f>'Racial Composition'!C56</f>
        <v>Chart 1a. Wilkeson population by race and Hispanic ethnicity, 2020</v>
      </c>
      <c r="E89" s="7" t="s">
        <v>105</v>
      </c>
    </row>
    <row r="90" spans="2:5">
      <c r="B90" s="7" t="str">
        <f>'Racial Composition'!C87</f>
        <v>Chart 2. Racial composition of Wilkeson and Pierce County, 2020</v>
      </c>
      <c r="E90" s="7" t="s">
        <v>105</v>
      </c>
    </row>
    <row r="91" spans="2:5">
      <c r="B91" s="7" t="str">
        <f>'Racial Composition'!C113</f>
        <v>Chart 2a. Racial composition of Wilkeson and Pierce County, 2020</v>
      </c>
      <c r="E91" s="7" t="s">
        <v>105</v>
      </c>
    </row>
    <row r="92" spans="2:5">
      <c r="B92" s="7" t="str">
        <f>'Racial Composition'!C138</f>
        <v>Chart 3. Racial composition of Wilkeson and Pierce County, 2015 and 2020</v>
      </c>
      <c r="E92" s="7" t="s">
        <v>105</v>
      </c>
    </row>
    <row r="93" spans="2:5">
      <c r="B93" s="7" t="str">
        <f>'Cost Burden'!C29</f>
        <v>Chart 4. Wilkeson total housing cost burden by racial and ethnic group, 2019</v>
      </c>
      <c r="E93" s="7" t="s">
        <v>106</v>
      </c>
    </row>
    <row r="94" spans="2:5">
      <c r="B94" s="7" t="str">
        <f>'Cost Burden'!C53</f>
        <v>Chart 4a. Wilkeson total housing cost burden by racial and ethnic group, 2019</v>
      </c>
      <c r="E94" s="7" t="s">
        <v>106</v>
      </c>
    </row>
    <row r="95" spans="2:5">
      <c r="B95" s="7" t="str">
        <f>'Cost Burden'!C76</f>
        <v>Chart 5. Wilkeson number of owner households by race and cost burden, 2019</v>
      </c>
      <c r="E95" s="7" t="s">
        <v>106</v>
      </c>
    </row>
    <row r="96" spans="2:5">
      <c r="B96" s="7" t="str">
        <f>'Cost Burden'!C100</f>
        <v>Chart 5a. Wilkeson number of owner households by race and cost burden, 2019</v>
      </c>
      <c r="E96" s="7" t="s">
        <v>106</v>
      </c>
    </row>
    <row r="97" spans="2:5">
      <c r="B97" s="7" t="str">
        <f>'Cost Burden'!C124</f>
        <v>Chart 6. Wilkeson renter households by race and cost burden, 2019</v>
      </c>
      <c r="E97" s="7" t="s">
        <v>106</v>
      </c>
    </row>
    <row r="98" spans="2:5">
      <c r="B98" s="7" t="str">
        <f>'Cost Burden'!C148</f>
        <v>Chart 6a. Wilkeson renter households by race and cost burden, 2019</v>
      </c>
      <c r="E98" s="7" t="s">
        <v>106</v>
      </c>
    </row>
    <row r="99" spans="2:5">
      <c r="B99" s="7" t="str">
        <f>'Cost Burden'!C202</f>
        <v>Chart 7. Wilkeson percent of all households experiencing housing cost burden, 2019</v>
      </c>
      <c r="E99" s="7" t="s">
        <v>106</v>
      </c>
    </row>
    <row r="100" spans="2:5">
      <c r="B100" s="7" t="str">
        <f>'Cost Burden'!C228</f>
        <v>Chart 7a. Wilkeson percent of all households experiencing housing cost burden, 2019</v>
      </c>
      <c r="E100" s="7" t="s">
        <v>106</v>
      </c>
    </row>
    <row r="101" spans="2:5">
      <c r="B101" s="7" t="str">
        <f>'Cost Burden'!C246</f>
        <v>Chart 8. Wilkeson percent owner households experiencing housing cost burden, 2019</v>
      </c>
      <c r="E101" s="7" t="s">
        <v>106</v>
      </c>
    </row>
    <row r="102" spans="2:5">
      <c r="B102" s="7" t="str">
        <f>'Cost Burden'!C272</f>
        <v>Chart 8a. Wilkeson percent owner households experiencing housing cost burden, 2019</v>
      </c>
      <c r="E102" s="7" t="s">
        <v>106</v>
      </c>
    </row>
    <row r="103" spans="2:5">
      <c r="B103" s="7" t="str">
        <f>'Cost Burden'!C291</f>
        <v>Chart 9. Wilkeson percent renter households experiencing housing cost burden, 2019</v>
      </c>
      <c r="E103" s="7" t="s">
        <v>106</v>
      </c>
    </row>
    <row r="104" spans="2:5">
      <c r="B104" s="7" t="str">
        <f>'Cost Burden'!C317</f>
        <v>Chart 9a. Wilkeson percent renter households experiencing housing cost burden, 2019</v>
      </c>
      <c r="E104" s="7" t="s">
        <v>106</v>
      </c>
    </row>
    <row r="105" spans="2:5">
      <c r="B105" s="7" t="str">
        <f>'Rental Affordability'!C20</f>
        <v>Chart 10. Wilkeson and Pierce County renter household income compared to rental unit affordability, 2019</v>
      </c>
      <c r="E105" s="7" t="s">
        <v>107</v>
      </c>
    </row>
    <row r="106" spans="2:5">
      <c r="B106" s="7" t="str">
        <f>'Rental Affordability'!C45</f>
        <v>Chart 11. Wilkeson renter households by income compared to rental units by affordability, 2019</v>
      </c>
      <c r="E106" s="7" t="s">
        <v>107</v>
      </c>
    </row>
    <row r="107" spans="2:5">
      <c r="B107" s="7" t="str">
        <f>'Rental Affordability'!C78</f>
        <v>Chart 12. Wilkeson five year change in renter households by income and rental units by affordability, 2014 - 2019</v>
      </c>
      <c r="E107" s="7" t="s">
        <v>107</v>
      </c>
    </row>
    <row r="108" spans="2:5">
      <c r="B108" s="7" t="str">
        <f>Income!B31</f>
        <v>Chart 13. Wilkeson number of households by income category and race, 2019</v>
      </c>
      <c r="E108" s="7" t="s">
        <v>108</v>
      </c>
    </row>
    <row r="109" spans="2:5">
      <c r="B109" s="7" t="str">
        <f>Income!B55</f>
        <v>Chart 13a. Wilkeson number of households by income category and race, 2019</v>
      </c>
      <c r="E109" s="7" t="s">
        <v>108</v>
      </c>
    </row>
    <row r="110" spans="2:5">
      <c r="B110" s="7" t="str">
        <f>Income!B78</f>
        <v>Chart 14. Wilkeson distribution of households by income and race or ethnicity, 2019</v>
      </c>
      <c r="E110" s="7" t="s">
        <v>108</v>
      </c>
    </row>
    <row r="111" spans="2:5">
      <c r="B111" s="7" t="str">
        <f>Income!B100</f>
        <v>Chart 14a. Wilkeson distribution of households by income and race or ethnicity, 2019</v>
      </c>
      <c r="E111" s="7" t="s">
        <v>108</v>
      </c>
    </row>
    <row r="112" spans="2:5">
      <c r="B112" s="7" t="str">
        <f>Income!B172</f>
        <v>Chart 15. Wilkeson percentage of all households by income category and race, (2010 - 2014 vs 2015 - 2019)</v>
      </c>
      <c r="E112" s="7" t="s">
        <v>108</v>
      </c>
    </row>
    <row r="113" spans="2:5">
      <c r="B113" s="7" t="str">
        <f>Tenure!B22</f>
        <v>Chart 16. Wilkeson total number of owner and renter households by race and ethnicity, 2019</v>
      </c>
      <c r="E113" s="7" t="s">
        <v>109</v>
      </c>
    </row>
    <row r="114" spans="2:5">
      <c r="B114" s="7" t="str">
        <f>Tenure!B47</f>
        <v>Chart 16a. Wilkeson total number of owner and renter households by race and ethnicity, 2019</v>
      </c>
      <c r="E114" s="7" t="s">
        <v>109</v>
      </c>
    </row>
    <row r="115" spans="2:5">
      <c r="B115" s="7" t="str">
        <f>Tenure!B69</f>
        <v xml:space="preserve">Chart 17. Wilkeson percent owner and renter households by race and ethnicity, 2019 </v>
      </c>
      <c r="E115" s="7" t="s">
        <v>109</v>
      </c>
    </row>
    <row r="116" spans="2:5">
      <c r="B116" s="7" t="str">
        <f>Tenure!B95</f>
        <v xml:space="preserve">Chart 17a. Wilkeson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Wilkeson and Pierce County, 2015 and 2020</v>
      </c>
      <c r="D5" s="302"/>
      <c r="E5" s="302"/>
      <c r="F5" s="302"/>
      <c r="G5" s="302"/>
      <c r="H5" s="302"/>
      <c r="I5" s="302"/>
      <c r="J5" s="302"/>
      <c r="K5" s="302"/>
      <c r="L5" s="302"/>
      <c r="M5" s="302"/>
      <c r="AA5" s="16" t="s">
        <v>127</v>
      </c>
      <c r="AB5" s="305" t="str">
        <f>City</f>
        <v>Wilkeson town, Washington</v>
      </c>
      <c r="AC5" s="305"/>
      <c r="AM5" s="32"/>
    </row>
    <row r="6" spans="3:51" ht="15.75">
      <c r="C6" s="302"/>
      <c r="D6" s="302"/>
      <c r="E6" s="302"/>
      <c r="F6" s="302"/>
      <c r="G6" s="302"/>
      <c r="H6" s="302"/>
      <c r="I6" s="302"/>
      <c r="J6" s="302"/>
      <c r="K6" s="302"/>
      <c r="L6" s="302"/>
      <c r="M6" s="302"/>
      <c r="AA6" s="16" t="s">
        <v>128</v>
      </c>
      <c r="AB6" s="305" t="str">
        <f>County</f>
        <v>Pierce County, Washington</v>
      </c>
      <c r="AC6" s="305"/>
      <c r="AL6" s="32"/>
    </row>
    <row r="7" spans="3:51" ht="15" thickBot="1"/>
    <row r="8" spans="3:51">
      <c r="C8" s="64"/>
      <c r="D8" s="64"/>
      <c r="E8" s="64"/>
      <c r="F8" s="64"/>
      <c r="G8" s="65" t="str">
        <f>City_label</f>
        <v>Wilkeson</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v>
      </c>
      <c r="H10" s="69">
        <f>AF15</f>
        <v>0</v>
      </c>
      <c r="I10" s="69">
        <f t="shared" ref="I10:I17" si="0">H10-G10</f>
        <v>-2</v>
      </c>
      <c r="J10" s="29"/>
      <c r="K10" s="69">
        <f>AK15</f>
        <v>8003</v>
      </c>
      <c r="L10" s="69">
        <f>AL15</f>
        <v>8071</v>
      </c>
      <c r="M10" s="69">
        <f t="shared" ref="M10:M17" si="1">L10-K10</f>
        <v>68</v>
      </c>
      <c r="AE10" s="36" t="str">
        <f>City_label</f>
        <v>Wilkeson</v>
      </c>
      <c r="AF10" s="36" t="str">
        <f>City_label</f>
        <v>Wilkeson</v>
      </c>
      <c r="AG10" s="36" t="str">
        <f>City_label</f>
        <v>Wilkeson</v>
      </c>
      <c r="AH10" s="36" t="str">
        <f>City_label</f>
        <v>Wilkeson</v>
      </c>
      <c r="AI10" s="36" t="str">
        <f>City_label</f>
        <v>Wilkeson</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0</v>
      </c>
      <c r="H11" s="69">
        <f>AF16</f>
        <v>0</v>
      </c>
      <c r="I11" s="69">
        <f t="shared" si="0"/>
        <v>0</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v>
      </c>
      <c r="H12" s="69">
        <f>AF14</f>
        <v>4</v>
      </c>
      <c r="I12" s="69">
        <f t="shared" si="0"/>
        <v>3</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v>
      </c>
      <c r="H13" s="69">
        <f>AF20</f>
        <v>0</v>
      </c>
      <c r="I13" s="69">
        <f t="shared" si="0"/>
        <v>-4</v>
      </c>
      <c r="J13" s="29"/>
      <c r="K13" s="69">
        <f>AK20</f>
        <v>81898</v>
      </c>
      <c r="L13" s="69">
        <f>AL20</f>
        <v>100534</v>
      </c>
      <c r="M13" s="69">
        <f t="shared" si="1"/>
        <v>18636</v>
      </c>
      <c r="AA13" s="112" t="s">
        <v>135</v>
      </c>
      <c r="AB13" s="112" t="s">
        <v>136</v>
      </c>
      <c r="AC13" t="s">
        <v>137</v>
      </c>
      <c r="AE13" s="1">
        <v>385</v>
      </c>
      <c r="AF13" s="1">
        <v>496</v>
      </c>
      <c r="AG13" s="6">
        <f t="shared" ref="AG13:AH20" si="2">AE13/AE$21</f>
        <v>0.94827586206896552</v>
      </c>
      <c r="AH13" s="6">
        <f t="shared" si="2"/>
        <v>0.98412698412698407</v>
      </c>
      <c r="AI13" t="str">
        <f t="shared" ref="AI13:AI20" si="3">TEXT(AF13,"#,##0")&amp;CHAR(10)&amp;"("&amp;TEXT(AH13,"0%"&amp;")")</f>
        <v>496
(98%)</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11029</v>
      </c>
      <c r="L14" s="69">
        <f t="shared" si="7"/>
        <v>12560</v>
      </c>
      <c r="M14" s="69">
        <f t="shared" si="1"/>
        <v>1531</v>
      </c>
      <c r="AA14" s="112" t="s">
        <v>138</v>
      </c>
      <c r="AB14" s="112" t="s">
        <v>139</v>
      </c>
      <c r="AC14" t="s">
        <v>140</v>
      </c>
      <c r="AE14" s="1">
        <v>1</v>
      </c>
      <c r="AF14" s="1">
        <v>4</v>
      </c>
      <c r="AG14" s="6">
        <f t="shared" si="2"/>
        <v>2.4630541871921183E-3</v>
      </c>
      <c r="AH14" s="6">
        <f t="shared" si="2"/>
        <v>7.9365079365079361E-3</v>
      </c>
      <c r="AI14" t="str">
        <f t="shared" si="3"/>
        <v>4
(1%)</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1137</v>
      </c>
      <c r="L15" s="69">
        <f t="shared" si="7"/>
        <v>2352</v>
      </c>
      <c r="M15" s="69">
        <f t="shared" si="1"/>
        <v>1215</v>
      </c>
      <c r="AA15" s="112" t="s">
        <v>141</v>
      </c>
      <c r="AB15" s="112" t="s">
        <v>142</v>
      </c>
      <c r="AC15" t="s">
        <v>143</v>
      </c>
      <c r="AE15" s="1">
        <v>2</v>
      </c>
      <c r="AF15" s="1">
        <v>0</v>
      </c>
      <c r="AG15" s="6">
        <f t="shared" si="2"/>
        <v>4.9261083743842365E-3</v>
      </c>
      <c r="AH15" s="6">
        <f t="shared" si="2"/>
        <v>0</v>
      </c>
      <c r="AI15" t="str">
        <f t="shared" si="3"/>
        <v>0
(0%)</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14</v>
      </c>
      <c r="H16" s="69">
        <f t="shared" si="6"/>
        <v>4</v>
      </c>
      <c r="I16" s="69">
        <f t="shared" si="0"/>
        <v>-10</v>
      </c>
      <c r="J16" s="29"/>
      <c r="K16" s="69">
        <f t="shared" si="7"/>
        <v>51798</v>
      </c>
      <c r="L16" s="69">
        <f t="shared" si="7"/>
        <v>66879</v>
      </c>
      <c r="M16" s="69">
        <f t="shared" si="1"/>
        <v>15081</v>
      </c>
      <c r="AA16" s="112" t="s">
        <v>144</v>
      </c>
      <c r="AB16" s="112" t="s">
        <v>145</v>
      </c>
      <c r="AC16" t="s">
        <v>146</v>
      </c>
      <c r="AE16" s="1">
        <v>0</v>
      </c>
      <c r="AF16" s="1">
        <v>0</v>
      </c>
      <c r="AG16" s="6">
        <f t="shared" si="2"/>
        <v>0</v>
      </c>
      <c r="AH16" s="6">
        <f t="shared" si="2"/>
        <v>0</v>
      </c>
      <c r="AI16" t="str">
        <f t="shared" si="3"/>
        <v>0
(0%)</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385</v>
      </c>
      <c r="H17" s="69">
        <f>AF13</f>
        <v>496</v>
      </c>
      <c r="I17" s="69">
        <f t="shared" si="0"/>
        <v>111</v>
      </c>
      <c r="J17" s="29"/>
      <c r="K17" s="69">
        <f>AK13</f>
        <v>565734</v>
      </c>
      <c r="L17" s="69">
        <f>AL13</f>
        <v>585988</v>
      </c>
      <c r="M17" s="69">
        <f t="shared" si="1"/>
        <v>20254</v>
      </c>
      <c r="AA17" s="112" t="s">
        <v>147</v>
      </c>
      <c r="AB17" s="112" t="s">
        <v>148</v>
      </c>
      <c r="AC17" t="s">
        <v>149</v>
      </c>
      <c r="AE17" s="1">
        <v>0</v>
      </c>
      <c r="AF17" s="1">
        <v>0</v>
      </c>
      <c r="AG17" s="6">
        <f t="shared" si="2"/>
        <v>0</v>
      </c>
      <c r="AH17" s="6">
        <f t="shared" si="2"/>
        <v>0</v>
      </c>
      <c r="AI17" t="str">
        <f t="shared" si="3"/>
        <v>0
(0%)</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406</v>
      </c>
      <c r="H18" s="72">
        <f>SUM(H10:H17)</f>
        <v>504</v>
      </c>
      <c r="I18" s="72">
        <f>SUM(I10:I17)</f>
        <v>98</v>
      </c>
      <c r="J18" s="70"/>
      <c r="K18" s="72">
        <f>SUM(K10:K17)</f>
        <v>821952</v>
      </c>
      <c r="L18" s="72">
        <f t="shared" ref="L18:M18" si="8">SUM(L10:L17)</f>
        <v>891862</v>
      </c>
      <c r="M18" s="72">
        <f t="shared" si="8"/>
        <v>69910</v>
      </c>
      <c r="AA18" s="112" t="s">
        <v>136</v>
      </c>
      <c r="AB18" s="112" t="s">
        <v>151</v>
      </c>
      <c r="AC18" t="s">
        <v>152</v>
      </c>
      <c r="AE18" s="1">
        <v>0</v>
      </c>
      <c r="AF18" s="1">
        <v>0</v>
      </c>
      <c r="AG18" s="6">
        <f t="shared" si="2"/>
        <v>0</v>
      </c>
      <c r="AH18" s="6">
        <f t="shared" si="2"/>
        <v>0</v>
      </c>
      <c r="AI18" t="str">
        <f t="shared" si="3"/>
        <v>0
(0%)</v>
      </c>
      <c r="AK18" s="1">
        <v>1137</v>
      </c>
      <c r="AL18" s="1">
        <v>2352</v>
      </c>
      <c r="AM18" s="6">
        <f t="shared" si="4"/>
        <v>1.3832924550338706E-3</v>
      </c>
      <c r="AN18" s="6">
        <f t="shared" si="5"/>
        <v>2.6371792945545387E-3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14</v>
      </c>
      <c r="AF19" s="1">
        <v>4</v>
      </c>
      <c r="AG19" s="6">
        <f t="shared" si="2"/>
        <v>3.4482758620689655E-2</v>
      </c>
      <c r="AH19" s="6">
        <f t="shared" si="2"/>
        <v>7.9365079365079361E-3</v>
      </c>
      <c r="AI19" t="str">
        <f t="shared" si="3"/>
        <v>4
(1%)</v>
      </c>
      <c r="AK19" s="1">
        <v>51798</v>
      </c>
      <c r="AL19" s="1">
        <v>66879</v>
      </c>
      <c r="AM19" s="6">
        <f t="shared" si="4"/>
        <v>6.3018278439616909E-2</v>
      </c>
      <c r="AN19" s="6">
        <f t="shared" si="5"/>
        <v>7.4988058690694304E-2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4</v>
      </c>
      <c r="AF20" s="1">
        <v>0</v>
      </c>
      <c r="AG20" s="6">
        <f t="shared" si="2"/>
        <v>9.852216748768473E-3</v>
      </c>
      <c r="AH20" s="6">
        <f t="shared" si="2"/>
        <v>0</v>
      </c>
      <c r="AI20" t="str">
        <f t="shared" si="3"/>
        <v>0
(0%)</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406</v>
      </c>
      <c r="AF21" s="3">
        <v>504</v>
      </c>
      <c r="AK21" s="2">
        <v>821952</v>
      </c>
      <c r="AL21" s="2">
        <v>891862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Wilkeson</v>
      </c>
      <c r="AH24" s="16" t="str">
        <f>City_label</f>
        <v>Wilkeson</v>
      </c>
      <c r="AK24" s="298" t="str">
        <f>County_label</f>
        <v>Pierce County</v>
      </c>
      <c r="AL24" s="298"/>
      <c r="AM24" s="298" t="str">
        <f>County_label</f>
        <v>Pierce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0</v>
      </c>
      <c r="AF26" s="5">
        <f>AF16</f>
        <v>0</v>
      </c>
      <c r="AG26" s="6">
        <f>AE26/$AE$31</f>
        <v>0</v>
      </c>
      <c r="AH26" s="6">
        <f>AF26/$AF$31</f>
        <v>0</v>
      </c>
      <c r="AI26" t="str">
        <f>TEXT(AF26,"#,##0")&amp;CHAR(10)&amp;"("&amp;TEXT(AH26,"0%"&amp;")")</f>
        <v>0
(0%)</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6" t="str">
        <f>IF(SUM(AH50,AH65,AN50,AN65)&gt;0, "Recommended", "Optional")</f>
        <v>Recommended</v>
      </c>
      <c r="M27" s="306"/>
      <c r="AC27" t="s">
        <v>140</v>
      </c>
      <c r="AE27" s="5">
        <f>AE14</f>
        <v>1</v>
      </c>
      <c r="AF27" s="5">
        <f>AF14</f>
        <v>4</v>
      </c>
      <c r="AG27" s="6">
        <f>AE27/$AE$31</f>
        <v>2.4630541871921183E-3</v>
      </c>
      <c r="AH27" s="6">
        <f>AF27/$AF$31</f>
        <v>7.9365079365079361E-3</v>
      </c>
      <c r="AI27" t="str">
        <f>TEXT(AF27,"#,##0")&amp;CHAR(10)&amp;"("&amp;TEXT(AH27,"0%"&amp;")")</f>
        <v>4
(1%)</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4</v>
      </c>
      <c r="AF28" s="5">
        <f>AF20</f>
        <v>0</v>
      </c>
      <c r="AG28" s="6">
        <f>AE28/$AE$31</f>
        <v>9.852216748768473E-3</v>
      </c>
      <c r="AH28" s="6">
        <f>AF28/$AF$31</f>
        <v>0</v>
      </c>
      <c r="AI28" t="str">
        <f>TEXT(AF28,"#,##0")&amp;CHAR(10)&amp;"("&amp;TEXT(AH28,"0%"&amp;")")</f>
        <v>0
(0%)</v>
      </c>
      <c r="AK28" s="5">
        <f>AK20</f>
        <v>81898</v>
      </c>
      <c r="AL28" s="5">
        <f>AL20</f>
        <v>100534</v>
      </c>
      <c r="AM28" s="6">
        <f>AK28/$AK$31</f>
        <v>9.9638421708323599E-2</v>
      </c>
      <c r="AN28" s="6">
        <f>AL28/$AL$31</f>
        <v>0.11272371734640561</v>
      </c>
    </row>
    <row r="29" spans="3:51" ht="18" customHeight="1">
      <c r="C29" s="302" t="str">
        <f>"Chart 1. "&amp; City_label &amp; " population by race and Hispanic or Latino ethnicity, 2020"</f>
        <v>Chart 1. Wilkeson population by race and Hispanic or Latino ethnicity, 2020</v>
      </c>
      <c r="D29" s="302"/>
      <c r="E29" s="302"/>
      <c r="F29" s="302"/>
      <c r="G29" s="302"/>
      <c r="H29" s="302"/>
      <c r="I29" s="302"/>
      <c r="J29" s="302"/>
      <c r="K29" s="302"/>
      <c r="L29" s="302"/>
      <c r="M29" s="302"/>
      <c r="AC29" t="s">
        <v>152</v>
      </c>
      <c r="AE29" s="5">
        <f>SUM(AE15,AE17,AE18,AE19)</f>
        <v>16</v>
      </c>
      <c r="AF29" s="5">
        <f>SUM(AF15,AF17,AF18,AF19)</f>
        <v>4</v>
      </c>
      <c r="AG29" s="6">
        <f>AE29/$AE$31</f>
        <v>3.9408866995073892E-2</v>
      </c>
      <c r="AH29" s="6">
        <f>AF29/$AF$31</f>
        <v>7.9365079365079361E-3</v>
      </c>
      <c r="AI29" t="str">
        <f>TEXT(AF29,"#,##0")&amp;CHAR(10)&amp;"("&amp;TEXT(AH29,"0%"&amp;")")</f>
        <v>4
(1%)</v>
      </c>
      <c r="AK29" s="5">
        <f>SUM(AK15,AK17,AK18,AK19)</f>
        <v>71967</v>
      </c>
      <c r="AL29" s="5">
        <f>SUM(AL15,AL17,AL18,AL19)</f>
        <v>89862</v>
      </c>
      <c r="AM29" s="6">
        <f>AK29/$AK$31</f>
        <v>8.7556207661761268E-2</v>
      </c>
      <c r="AN29" s="6">
        <f>AL29/$AL$31</f>
        <v>0.10075774054730441</v>
      </c>
    </row>
    <row r="30" spans="3:51" ht="18" customHeight="1">
      <c r="C30" s="302"/>
      <c r="D30" s="302"/>
      <c r="E30" s="302"/>
      <c r="F30" s="302"/>
      <c r="G30" s="302"/>
      <c r="H30" s="302"/>
      <c r="I30" s="302"/>
      <c r="J30" s="302"/>
      <c r="K30" s="302"/>
      <c r="L30" s="302"/>
      <c r="M30" s="302"/>
      <c r="AC30" t="s">
        <v>137</v>
      </c>
      <c r="AE30" s="5">
        <f>AE13</f>
        <v>385</v>
      </c>
      <c r="AF30" s="5">
        <f>AF13</f>
        <v>496</v>
      </c>
      <c r="AG30" s="6">
        <f>AE30/$AE$31</f>
        <v>0.94827586206896552</v>
      </c>
      <c r="AH30" s="6">
        <f>AF30/$AF$31</f>
        <v>0.98412698412698407</v>
      </c>
      <c r="AI30" t="str">
        <f>TEXT(AF30,"#,##0")&amp;CHAR(10)&amp;"("&amp;TEXT(AH30,"0%"&amp;")")</f>
        <v>496
(98%)</v>
      </c>
      <c r="AK30" s="5">
        <f>AK13</f>
        <v>565734</v>
      </c>
      <c r="AL30" s="5">
        <f>AL13</f>
        <v>585988</v>
      </c>
      <c r="AM30" s="6">
        <f>AK30/$AK$31</f>
        <v>0.68828106750759166</v>
      </c>
      <c r="AN30" s="6">
        <f>AL30/$AL$31</f>
        <v>0.65703886924210253</v>
      </c>
    </row>
    <row r="31" spans="3:51" ht="15">
      <c r="AC31" t="s">
        <v>161</v>
      </c>
      <c r="AE31" s="37">
        <f>SUM(AE26:AE30)</f>
        <v>406</v>
      </c>
      <c r="AF31" s="37">
        <f>SUM(AF26:AF30)</f>
        <v>504</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Wilkeson</v>
      </c>
      <c r="AG35" s="298" t="str">
        <f>City_label</f>
        <v>Wilkeson</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v>
      </c>
      <c r="AF37" s="5">
        <f>AF20</f>
        <v>0</v>
      </c>
      <c r="AG37" s="6">
        <f>AG20</f>
        <v>9.852216748768473E-3</v>
      </c>
      <c r="AH37" s="6">
        <f>AH20</f>
        <v>0</v>
      </c>
      <c r="AI37" t="str">
        <f>TEXT(AF37,"#,##0")&amp;CHAR(10)&amp;"("&amp;TEXT(AH37,"0%"&amp;")")</f>
        <v>0
(0%)</v>
      </c>
      <c r="AK37" s="5">
        <f>AK20</f>
        <v>81898</v>
      </c>
      <c r="AL37" s="5">
        <f>AL20</f>
        <v>100534</v>
      </c>
      <c r="AM37" s="6">
        <f>AM20</f>
        <v>9.9638421708323599E-2</v>
      </c>
      <c r="AN37" s="6">
        <f>AN20</f>
        <v>0.11272371734640561</v>
      </c>
    </row>
    <row r="38" spans="27:40">
      <c r="AC38" t="s">
        <v>162</v>
      </c>
      <c r="AE38" s="5">
        <f>SUM(AE14:AE19)</f>
        <v>17</v>
      </c>
      <c r="AF38" s="5">
        <f>SUM(AF14:AF19)</f>
        <v>8</v>
      </c>
      <c r="AG38" s="6">
        <f>SUM(AG14:AG19)</f>
        <v>4.1871921182266007E-2</v>
      </c>
      <c r="AH38" s="6">
        <f>SUM(AH14:AH19)</f>
        <v>1.5873015873015872E-2</v>
      </c>
      <c r="AI38" t="str">
        <f>TEXT(AF38,"#,##0")&amp;CHAR(10)&amp;"("&amp;TEXT(AH38,"0%"&amp;")")</f>
        <v>8
(2%)</v>
      </c>
      <c r="AK38" s="5">
        <f>SUM(AK14:AK19)</f>
        <v>174320</v>
      </c>
      <c r="AL38" s="5">
        <f>SUM(AL14:AL19)</f>
        <v>205340</v>
      </c>
      <c r="AM38" s="6">
        <f>SUM(AM14:AM19)</f>
        <v>0.21208051078408474</v>
      </c>
      <c r="AN38" s="6">
        <f>SUM(AN14:AN19)</f>
        <v>0.23023741341149193</v>
      </c>
    </row>
    <row r="39" spans="27:40">
      <c r="AC39" t="s">
        <v>137</v>
      </c>
      <c r="AE39" s="5">
        <f>AE13</f>
        <v>385</v>
      </c>
      <c r="AF39" s="5">
        <f>AF13</f>
        <v>496</v>
      </c>
      <c r="AG39" s="6">
        <f>AG13</f>
        <v>0.94827586206896552</v>
      </c>
      <c r="AH39" s="6">
        <f>AH13</f>
        <v>0.98412698412698407</v>
      </c>
      <c r="AI39" t="str">
        <f>TEXT(AF39,"#,##0")&amp;CHAR(10)&amp;"("&amp;TEXT(AH39,"0%"&amp;")")</f>
        <v>496
(98%)</v>
      </c>
      <c r="AK39" s="5">
        <f>AK13</f>
        <v>565734</v>
      </c>
      <c r="AL39" s="5">
        <f>AL13</f>
        <v>585988</v>
      </c>
      <c r="AM39" s="6">
        <f>AM13</f>
        <v>0.68828106750759166</v>
      </c>
      <c r="AN39" s="6">
        <f>AN13</f>
        <v>0.65703886924210253</v>
      </c>
    </row>
    <row r="40" spans="27:40" ht="14.25" customHeight="1">
      <c r="AD40" t="s">
        <v>161</v>
      </c>
      <c r="AE40" s="37">
        <f>SUM(AE37:AE38)</f>
        <v>21</v>
      </c>
      <c r="AF40" s="37">
        <f>SUM(AF37:AF38)</f>
        <v>8</v>
      </c>
      <c r="AG40" s="53">
        <f>SUM(AG37:AG38)</f>
        <v>5.1724137931034482E-2</v>
      </c>
      <c r="AH40" s="53">
        <f>SUM(AH37:AH38)</f>
        <v>1.5873015873015872E-2</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Wilkeson</v>
      </c>
      <c r="AF49" s="36" t="str">
        <f>City_label</f>
        <v>Wilkeson</v>
      </c>
      <c r="AG49" s="36" t="str">
        <f>City_label</f>
        <v>Wilkeson</v>
      </c>
      <c r="AH49" s="98" t="str">
        <f>IF(AH50&gt;=1, "Small Numbers", "")</f>
        <v>Small Numbers</v>
      </c>
      <c r="AK49" s="36" t="str">
        <f>City_label</f>
        <v>Wilkeson</v>
      </c>
      <c r="AL49" s="36" t="str">
        <f>City_label</f>
        <v>Wilkeson</v>
      </c>
      <c r="AM49" s="36" t="str">
        <f>City_label</f>
        <v>Wilkeson</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385</v>
      </c>
      <c r="AF52" s="1">
        <v>66</v>
      </c>
      <c r="AG52" s="6">
        <f t="shared" ref="AG52:AG60" si="9">IFERROR(((AF52/1.645)/AE52), 0)</f>
        <v>0.10421189752496743</v>
      </c>
      <c r="AH52" s="98">
        <f>IF(AG52&gt;MOE_Threshold, 1, 0)</f>
        <v>0</v>
      </c>
      <c r="AK52" s="1">
        <v>496</v>
      </c>
      <c r="AL52" s="1">
        <v>124</v>
      </c>
      <c r="AM52" s="6">
        <f t="shared" ref="AM52:AM60" si="10">IFERROR(((AL52/1.645)/AK52), 0)</f>
        <v>0.1519756838905775</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1</v>
      </c>
      <c r="AF53" s="1">
        <v>3</v>
      </c>
      <c r="AG53" s="6">
        <f t="shared" si="9"/>
        <v>1.8237082066869301</v>
      </c>
      <c r="AH53" s="98">
        <f>IF(AG53&gt;MOE_Threshold, 1, 0)</f>
        <v>1</v>
      </c>
      <c r="AK53" s="1">
        <v>4</v>
      </c>
      <c r="AL53" s="1">
        <v>7</v>
      </c>
      <c r="AM53" s="6">
        <f t="shared" si="10"/>
        <v>1.0638297872340425</v>
      </c>
      <c r="AN53" s="98">
        <f>IF(AM53&gt;MOE_Threshold, 1, 0)</f>
        <v>1</v>
      </c>
    </row>
    <row r="54" spans="3:40">
      <c r="C54" s="50"/>
      <c r="D54" s="50"/>
      <c r="E54" s="50"/>
      <c r="F54" s="50"/>
      <c r="G54" s="50"/>
      <c r="H54" s="50"/>
      <c r="I54" s="50"/>
      <c r="J54" s="50"/>
      <c r="K54" s="50"/>
      <c r="AA54" s="112" t="s">
        <v>171</v>
      </c>
      <c r="AB54" s="112" t="s">
        <v>172</v>
      </c>
      <c r="AC54" t="s">
        <v>143</v>
      </c>
      <c r="AE54" s="1">
        <v>2</v>
      </c>
      <c r="AF54" s="1">
        <v>5</v>
      </c>
      <c r="AG54" s="6">
        <f t="shared" si="9"/>
        <v>1.519756838905775</v>
      </c>
      <c r="AH54" s="98"/>
      <c r="AK54" s="1">
        <v>0</v>
      </c>
      <c r="AL54" s="1">
        <v>13</v>
      </c>
      <c r="AM54" s="6">
        <f t="shared" si="10"/>
        <v>0</v>
      </c>
      <c r="AN54" s="98"/>
    </row>
    <row r="55" spans="3:40">
      <c r="AA55" s="112" t="s">
        <v>173</v>
      </c>
      <c r="AB55" s="112" t="s">
        <v>174</v>
      </c>
      <c r="AC55" t="s">
        <v>146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Wilkeson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14</v>
      </c>
      <c r="AF58" s="1">
        <v>12</v>
      </c>
      <c r="AG58" s="6">
        <f t="shared" si="9"/>
        <v>0.52105948762483723</v>
      </c>
      <c r="AH58" s="98"/>
      <c r="AK58" s="1">
        <v>4</v>
      </c>
      <c r="AL58" s="1">
        <v>6</v>
      </c>
      <c r="AM58" s="6">
        <f t="shared" si="10"/>
        <v>0.91185410334346506</v>
      </c>
      <c r="AN58" s="98"/>
    </row>
    <row r="59" spans="3:40">
      <c r="AA59" s="112" t="s">
        <v>179</v>
      </c>
      <c r="AB59" s="112" t="s">
        <v>180</v>
      </c>
      <c r="AC59" t="s">
        <v>158</v>
      </c>
      <c r="AE59" s="1">
        <v>4</v>
      </c>
      <c r="AF59" s="1">
        <v>7</v>
      </c>
      <c r="AG59" s="6">
        <f t="shared" si="9"/>
        <v>1.0638297872340425</v>
      </c>
      <c r="AH59" s="98">
        <f>IF(AG59&gt;MOE_Threshold, 1, 0)</f>
        <v>1</v>
      </c>
      <c r="AK59" s="1">
        <v>0</v>
      </c>
      <c r="AL59" s="1">
        <v>13</v>
      </c>
      <c r="AM59" s="6">
        <f t="shared" si="10"/>
        <v>0</v>
      </c>
      <c r="AN59" s="98">
        <f>IF(AM59&gt;MOE_Threshold, 1, 0)</f>
        <v>0</v>
      </c>
    </row>
    <row r="60" spans="3:40" ht="15">
      <c r="AA60" s="112" t="s">
        <v>181</v>
      </c>
      <c r="AB60" s="112" t="s">
        <v>182</v>
      </c>
      <c r="AC60" s="16" t="s">
        <v>161</v>
      </c>
      <c r="AE60" s="2">
        <v>406</v>
      </c>
      <c r="AF60" s="2">
        <v>68</v>
      </c>
      <c r="AG60" s="6">
        <f t="shared" si="9"/>
        <v>0.10181622171979578</v>
      </c>
      <c r="AH60" s="98">
        <f>IF(AG60&gt;MOE_Threshold, 1, 0)</f>
        <v>0</v>
      </c>
      <c r="AK60" s="2">
        <v>504</v>
      </c>
      <c r="AL60" s="2">
        <v>125</v>
      </c>
      <c r="AM60" s="6">
        <f t="shared" si="10"/>
        <v>0.15076952766922372</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9"/>
      <c r="D72" s="299"/>
      <c r="E72" s="299"/>
      <c r="F72" s="299"/>
      <c r="G72" s="299"/>
      <c r="H72" s="299"/>
      <c r="I72" s="299"/>
      <c r="J72" s="299"/>
      <c r="K72" s="299"/>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2" t="str">
        <f>"Table 2. Racial composition percentage of "&amp; City_label &amp; " and " &amp; County_label&amp; " 2015 and 2020"</f>
        <v>Table 2. Racial composition percentage of Wilkeson and Pierce County 2015 and 2020</v>
      </c>
      <c r="D74" s="302"/>
      <c r="E74" s="302"/>
      <c r="F74" s="302"/>
      <c r="G74" s="302"/>
      <c r="H74" s="302"/>
      <c r="I74" s="302"/>
      <c r="J74" s="302"/>
      <c r="K74" s="302"/>
      <c r="L74" s="302"/>
      <c r="M74" s="302"/>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Wilkeson</v>
      </c>
      <c r="G77" s="304"/>
      <c r="H77" s="304" t="str">
        <f>County_label</f>
        <v>Pierce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v>
      </c>
      <c r="G79" s="179">
        <f t="shared" si="13"/>
        <v>0</v>
      </c>
      <c r="H79" s="179">
        <f t="shared" ref="H79:I83" si="14">AM26</f>
        <v>5.9567955306392591E-2</v>
      </c>
      <c r="I79" s="179">
        <f t="shared" si="14"/>
        <v>6.2977231903590461E-2</v>
      </c>
    </row>
    <row r="80" spans="3:40">
      <c r="C80" s="29" t="s">
        <v>140</v>
      </c>
      <c r="D80" s="29"/>
      <c r="E80" s="29"/>
      <c r="F80" s="101">
        <f t="shared" si="13"/>
        <v>2.4630541871921183E-3</v>
      </c>
      <c r="G80" s="101">
        <f t="shared" si="13"/>
        <v>7.9365079365079361E-3</v>
      </c>
      <c r="H80" s="101">
        <f t="shared" si="14"/>
        <v>6.4956347815930862E-2</v>
      </c>
      <c r="I80" s="101">
        <f t="shared" si="14"/>
        <v>6.6502440960597042E-2</v>
      </c>
    </row>
    <row r="81" spans="3:10">
      <c r="C81" s="29" t="s">
        <v>158</v>
      </c>
      <c r="D81" s="29"/>
      <c r="E81" s="29"/>
      <c r="F81" s="179">
        <f t="shared" si="13"/>
        <v>9.852216748768473E-3</v>
      </c>
      <c r="G81" s="179">
        <f t="shared" si="13"/>
        <v>0</v>
      </c>
      <c r="H81" s="179">
        <f t="shared" si="14"/>
        <v>9.9638421708323599E-2</v>
      </c>
      <c r="I81" s="179">
        <f t="shared" si="14"/>
        <v>0.11272371734640561</v>
      </c>
    </row>
    <row r="82" spans="3:10">
      <c r="C82" s="29" t="s">
        <v>152</v>
      </c>
      <c r="D82" s="29"/>
      <c r="E82" s="29"/>
      <c r="F82" s="101">
        <f t="shared" si="13"/>
        <v>3.9408866995073892E-2</v>
      </c>
      <c r="G82" s="101">
        <f t="shared" si="13"/>
        <v>7.9365079365079361E-3</v>
      </c>
      <c r="H82" s="101">
        <f t="shared" si="14"/>
        <v>8.7556207661761268E-2</v>
      </c>
      <c r="I82" s="101">
        <f t="shared" si="14"/>
        <v>0.10075774054730441</v>
      </c>
    </row>
    <row r="83" spans="3:10" ht="13.9" customHeight="1">
      <c r="C83" s="29" t="s">
        <v>137</v>
      </c>
      <c r="D83" s="29"/>
      <c r="E83" s="29"/>
      <c r="F83" s="179">
        <f t="shared" si="13"/>
        <v>0.94827586206896552</v>
      </c>
      <c r="G83" s="179">
        <f t="shared" si="13"/>
        <v>0.98412698412698407</v>
      </c>
      <c r="H83" s="179">
        <f t="shared" si="14"/>
        <v>0.68828106750759166</v>
      </c>
      <c r="I83" s="179">
        <f t="shared" si="14"/>
        <v>0.65703886924210253</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Wilkeson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Wilkeson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Wilkeson and Pierce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Wilkeson number of households by housing cost burden, 2019</v>
      </c>
      <c r="J4" t="s">
        <v>185</v>
      </c>
      <c r="R4" s="16" t="s">
        <v>127</v>
      </c>
      <c r="S4" s="52" t="str">
        <f>City</f>
        <v>Wilkeson town,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90</v>
      </c>
      <c r="G10" s="102">
        <f t="shared" si="0"/>
        <v>0</v>
      </c>
      <c r="H10" s="102">
        <f t="shared" si="0"/>
        <v>0</v>
      </c>
      <c r="I10" s="102">
        <f t="shared" si="0"/>
        <v>0</v>
      </c>
      <c r="J10" s="102">
        <f t="shared" si="0"/>
        <v>0</v>
      </c>
      <c r="K10" s="102">
        <f t="shared" si="0"/>
        <v>4</v>
      </c>
      <c r="L10" s="102">
        <f t="shared" si="0"/>
        <v>0</v>
      </c>
      <c r="M10" s="102">
        <f>SUM(F10:L10)</f>
        <v>94</v>
      </c>
      <c r="S10" s="33" t="s">
        <v>199</v>
      </c>
      <c r="T10" s="5">
        <f t="shared" ref="T10:AA13" si="1">T30+T50</f>
        <v>115</v>
      </c>
      <c r="U10" s="5">
        <f t="shared" si="1"/>
        <v>0</v>
      </c>
      <c r="V10" s="5">
        <f t="shared" si="1"/>
        <v>0</v>
      </c>
      <c r="W10" s="5">
        <f t="shared" si="1"/>
        <v>0</v>
      </c>
      <c r="X10" s="5">
        <f t="shared" si="1"/>
        <v>0</v>
      </c>
      <c r="Y10" s="5">
        <f t="shared" si="1"/>
        <v>4</v>
      </c>
      <c r="Z10" s="5">
        <f t="shared" si="1"/>
        <v>0</v>
      </c>
      <c r="AA10" s="5">
        <f t="shared" si="1"/>
        <v>119</v>
      </c>
      <c r="AB10" s="5"/>
      <c r="AC10" s="5"/>
      <c r="AD10" s="33" t="s">
        <v>199</v>
      </c>
      <c r="AE10" s="5">
        <f>V10</f>
        <v>0</v>
      </c>
      <c r="AF10" s="5">
        <f>U10</f>
        <v>0</v>
      </c>
      <c r="AG10" s="5">
        <f>'Cost Burden'!Z10</f>
        <v>0</v>
      </c>
      <c r="AH10" s="5">
        <f>SUM(W10:Y10)</f>
        <v>4</v>
      </c>
      <c r="AI10" s="5">
        <f t="shared" ref="AI10" si="2">SUM(U10:Z10)</f>
        <v>4</v>
      </c>
      <c r="AJ10" s="5">
        <f>T10</f>
        <v>115</v>
      </c>
      <c r="AK10" s="5">
        <f t="shared" ref="AK10" si="3">SUM(AJ10,AE10:AH10)</f>
        <v>119</v>
      </c>
      <c r="AQ10" s="31"/>
      <c r="BC10" s="41"/>
      <c r="BG10" s="312"/>
      <c r="BH10" s="312"/>
      <c r="BI10" s="312"/>
    </row>
    <row r="11" spans="3:66" ht="13.9" customHeight="1">
      <c r="C11" s="69" t="str">
        <f>S36</f>
        <v>Total Cost-Burdened</v>
      </c>
      <c r="D11" s="29"/>
      <c r="E11" s="29"/>
      <c r="F11" s="102">
        <f>T36</f>
        <v>39</v>
      </c>
      <c r="G11" s="102">
        <f t="shared" ref="G11:L11" si="4">U36</f>
        <v>0</v>
      </c>
      <c r="H11" s="102">
        <f t="shared" si="4"/>
        <v>0</v>
      </c>
      <c r="I11" s="102">
        <f t="shared" si="4"/>
        <v>0</v>
      </c>
      <c r="J11" s="102">
        <f t="shared" si="4"/>
        <v>0</v>
      </c>
      <c r="K11" s="102">
        <f t="shared" si="4"/>
        <v>0</v>
      </c>
      <c r="L11" s="102">
        <f t="shared" si="4"/>
        <v>0</v>
      </c>
      <c r="M11" s="102">
        <f t="shared" ref="M11:M14" si="5">SUM(F11:L11)</f>
        <v>39</v>
      </c>
      <c r="S11" s="33" t="s">
        <v>192</v>
      </c>
      <c r="T11" s="5">
        <f t="shared" si="1"/>
        <v>60</v>
      </c>
      <c r="U11" s="5">
        <f t="shared" si="1"/>
        <v>0</v>
      </c>
      <c r="V11" s="5">
        <f t="shared" si="1"/>
        <v>0</v>
      </c>
      <c r="W11" s="5">
        <f t="shared" si="1"/>
        <v>0</v>
      </c>
      <c r="X11" s="5">
        <f t="shared" si="1"/>
        <v>0</v>
      </c>
      <c r="Y11" s="5">
        <f t="shared" si="1"/>
        <v>0</v>
      </c>
      <c r="Z11" s="5">
        <f t="shared" si="1"/>
        <v>0</v>
      </c>
      <c r="AA11" s="5">
        <f t="shared" si="1"/>
        <v>60</v>
      </c>
      <c r="AB11" s="5"/>
      <c r="AC11" s="5"/>
      <c r="AD11" s="33" t="s">
        <v>192</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60</v>
      </c>
      <c r="AK11" s="5">
        <f t="shared" ref="AK11:AK13" si="11">SUM(AJ11,AE11:AH11)</f>
        <v>60</v>
      </c>
      <c r="AQ11" s="31"/>
      <c r="BC11" s="41"/>
      <c r="BH11" s="197"/>
    </row>
    <row r="12" spans="3:66">
      <c r="C12" s="117" t="str">
        <f>S31</f>
        <v>Cost-Burdened (30-50%)</v>
      </c>
      <c r="D12" s="118"/>
      <c r="E12" s="118"/>
      <c r="F12" s="214">
        <f t="shared" ref="F12:L14" si="12">T31</f>
        <v>35</v>
      </c>
      <c r="G12" s="214">
        <f t="shared" si="12"/>
        <v>0</v>
      </c>
      <c r="H12" s="214">
        <f t="shared" si="12"/>
        <v>0</v>
      </c>
      <c r="I12" s="214">
        <f t="shared" si="12"/>
        <v>0</v>
      </c>
      <c r="J12" s="214">
        <f t="shared" si="12"/>
        <v>0</v>
      </c>
      <c r="K12" s="214">
        <f t="shared" si="12"/>
        <v>0</v>
      </c>
      <c r="L12" s="214">
        <f t="shared" si="12"/>
        <v>0</v>
      </c>
      <c r="M12" s="214">
        <f t="shared" si="5"/>
        <v>35</v>
      </c>
      <c r="S12" s="33" t="s">
        <v>191</v>
      </c>
      <c r="T12" s="5">
        <f t="shared" si="1"/>
        <v>14</v>
      </c>
      <c r="U12" s="5">
        <f t="shared" si="1"/>
        <v>0</v>
      </c>
      <c r="V12" s="5">
        <f t="shared" si="1"/>
        <v>0</v>
      </c>
      <c r="W12" s="5">
        <f t="shared" si="1"/>
        <v>0</v>
      </c>
      <c r="X12" s="5">
        <f t="shared" si="1"/>
        <v>0</v>
      </c>
      <c r="Y12" s="5">
        <f t="shared" si="1"/>
        <v>0</v>
      </c>
      <c r="Z12" s="5">
        <f t="shared" si="1"/>
        <v>0</v>
      </c>
      <c r="AA12" s="5">
        <f t="shared" si="1"/>
        <v>14</v>
      </c>
      <c r="AB12" s="5"/>
      <c r="AC12" s="5"/>
      <c r="AD12" s="33" t="s">
        <v>191</v>
      </c>
      <c r="AE12" s="5">
        <f t="shared" si="6"/>
        <v>0</v>
      </c>
      <c r="AF12" s="5">
        <f t="shared" si="7"/>
        <v>0</v>
      </c>
      <c r="AG12" s="5">
        <f>'Cost Burden'!Z12</f>
        <v>0</v>
      </c>
      <c r="AH12" s="5">
        <f t="shared" si="8"/>
        <v>0</v>
      </c>
      <c r="AI12" s="5">
        <f t="shared" si="9"/>
        <v>0</v>
      </c>
      <c r="AJ12" s="5">
        <f t="shared" si="10"/>
        <v>14</v>
      </c>
      <c r="AK12" s="5">
        <f t="shared" si="11"/>
        <v>14</v>
      </c>
      <c r="AQ12" s="31"/>
      <c r="BC12" s="41"/>
      <c r="BG12" s="312" t="s">
        <v>192</v>
      </c>
      <c r="BH12" s="312"/>
      <c r="BI12" s="31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2"/>
      <c r="BH13" s="312"/>
      <c r="BI13" s="31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189</v>
      </c>
      <c r="U14" s="37">
        <f t="shared" si="13"/>
        <v>0</v>
      </c>
      <c r="V14" s="37">
        <f t="shared" si="13"/>
        <v>0</v>
      </c>
      <c r="W14" s="37">
        <f t="shared" si="13"/>
        <v>0</v>
      </c>
      <c r="X14" s="37">
        <f t="shared" si="13"/>
        <v>0</v>
      </c>
      <c r="Y14" s="37">
        <f t="shared" si="13"/>
        <v>4</v>
      </c>
      <c r="Z14" s="37">
        <f t="shared" si="13"/>
        <v>0</v>
      </c>
      <c r="AA14" s="37">
        <f>AA34+AA54</f>
        <v>184</v>
      </c>
      <c r="AB14" s="5"/>
      <c r="AC14" s="5"/>
      <c r="AD14" s="34" t="s">
        <v>150</v>
      </c>
      <c r="AE14" s="37">
        <f t="shared" si="6"/>
        <v>0</v>
      </c>
      <c r="AF14" s="37">
        <f t="shared" ref="AF14" si="14">U14</f>
        <v>0</v>
      </c>
      <c r="AG14" s="37">
        <f>'Cost Burden'!Z14</f>
        <v>0</v>
      </c>
      <c r="AH14" s="37">
        <f t="shared" ref="AH14" si="15">SUM(W14:Y14)</f>
        <v>4</v>
      </c>
      <c r="AI14" s="37">
        <f t="shared" ref="AI14" si="16">SUM(U14:Z14)</f>
        <v>4</v>
      </c>
      <c r="AJ14" s="37">
        <f t="shared" ref="AJ14" si="17">T14</f>
        <v>189</v>
      </c>
      <c r="AK14" s="58">
        <f>AA14</f>
        <v>184</v>
      </c>
      <c r="BC14" s="41"/>
      <c r="BH14" s="196"/>
    </row>
    <row r="15" spans="3:66" ht="15">
      <c r="C15" s="29"/>
      <c r="D15" s="29"/>
      <c r="E15" s="75" t="str">
        <f>S14</f>
        <v>Total</v>
      </c>
      <c r="F15" s="104">
        <f>T34</f>
        <v>125</v>
      </c>
      <c r="G15" s="104">
        <f t="shared" ref="G15:L15" si="18">U34</f>
        <v>0</v>
      </c>
      <c r="H15" s="104">
        <f t="shared" si="18"/>
        <v>0</v>
      </c>
      <c r="I15" s="104">
        <f t="shared" si="18"/>
        <v>0</v>
      </c>
      <c r="J15" s="104">
        <f t="shared" si="18"/>
        <v>0</v>
      </c>
      <c r="K15" s="104">
        <f t="shared" si="18"/>
        <v>4</v>
      </c>
      <c r="L15" s="104">
        <f t="shared" si="18"/>
        <v>0</v>
      </c>
      <c r="M15" s="104">
        <f>SUM(F15:L15)</f>
        <v>129</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35</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35</v>
      </c>
      <c r="AK16" s="114">
        <f>SUM(AJ16,AE16:AH16)</f>
        <v>35</v>
      </c>
      <c r="BC16" s="41"/>
      <c r="BG16" s="312"/>
      <c r="BH16" s="312"/>
      <c r="BI16" s="312"/>
    </row>
    <row r="17" spans="3:55">
      <c r="C17" s="69" t="str">
        <f>S50</f>
        <v>Not Cost Burdened</v>
      </c>
      <c r="D17" s="29"/>
      <c r="E17" s="29"/>
      <c r="F17" s="102">
        <f t="shared" ref="F17:L17" si="21">T50</f>
        <v>25</v>
      </c>
      <c r="G17" s="102">
        <f t="shared" si="21"/>
        <v>0</v>
      </c>
      <c r="H17" s="102">
        <f t="shared" si="21"/>
        <v>0</v>
      </c>
      <c r="I17" s="102">
        <f t="shared" si="21"/>
        <v>0</v>
      </c>
      <c r="J17" s="102">
        <f t="shared" si="21"/>
        <v>0</v>
      </c>
      <c r="K17" s="102">
        <f t="shared" si="21"/>
        <v>0</v>
      </c>
      <c r="L17" s="102">
        <f t="shared" si="21"/>
        <v>0</v>
      </c>
      <c r="M17" s="102">
        <f>SUM(F17:L17)</f>
        <v>25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35</v>
      </c>
      <c r="G18" s="102">
        <f t="shared" si="22"/>
        <v>0</v>
      </c>
      <c r="H18" s="102">
        <f t="shared" si="22"/>
        <v>0</v>
      </c>
      <c r="I18" s="102">
        <f t="shared" si="22"/>
        <v>0</v>
      </c>
      <c r="J18" s="102">
        <f t="shared" si="22"/>
        <v>0</v>
      </c>
      <c r="K18" s="102">
        <f t="shared" si="22"/>
        <v>0</v>
      </c>
      <c r="L18" s="102">
        <f t="shared" si="22"/>
        <v>0</v>
      </c>
      <c r="M18" s="102">
        <f t="shared" ref="M18:M21" si="23">SUM(F18:L18)</f>
        <v>35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0</v>
      </c>
      <c r="M19" s="102">
        <f t="shared" si="23"/>
        <v>25</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0</v>
      </c>
      <c r="M20" s="102">
        <f t="shared" si="23"/>
        <v>10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55</v>
      </c>
      <c r="G22" s="106">
        <f t="shared" ref="G22:L22" si="25">U54</f>
        <v>0</v>
      </c>
      <c r="H22" s="106">
        <f t="shared" si="25"/>
        <v>0</v>
      </c>
      <c r="I22" s="106">
        <f t="shared" si="25"/>
        <v>0</v>
      </c>
      <c r="J22" s="106">
        <f t="shared" si="25"/>
        <v>0</v>
      </c>
      <c r="K22" s="106">
        <f t="shared" si="25"/>
        <v>0</v>
      </c>
      <c r="L22" s="106">
        <f t="shared" si="25"/>
        <v>0</v>
      </c>
      <c r="M22" s="104">
        <f>SUM(F22:L22)</f>
        <v>55</v>
      </c>
      <c r="S22" s="33" t="s">
        <v>199</v>
      </c>
      <c r="T22" s="96" t="s">
        <v>206</v>
      </c>
      <c r="U22" s="96" t="s">
        <v>207</v>
      </c>
      <c r="V22" s="96" t="s">
        <v>208</v>
      </c>
      <c r="W22" s="96" t="s">
        <v>209</v>
      </c>
      <c r="X22" s="96" t="s">
        <v>210</v>
      </c>
      <c r="Y22" s="96" t="s">
        <v>211</v>
      </c>
      <c r="Z22" s="96" t="s">
        <v>212</v>
      </c>
      <c r="AA22" s="5"/>
      <c r="AB22" s="5"/>
      <c r="AC22" s="5"/>
      <c r="AD22" s="33" t="s">
        <v>199</v>
      </c>
      <c r="AE22" s="5">
        <f>V30</f>
        <v>0</v>
      </c>
      <c r="AF22" s="5">
        <f>U30</f>
        <v>0</v>
      </c>
      <c r="AG22" s="5">
        <f>'Cost Burden'!Z30</f>
        <v>0</v>
      </c>
      <c r="AH22" s="5">
        <f>SUM(W30:Y30)</f>
        <v>4</v>
      </c>
      <c r="AI22" s="5">
        <f>SUM(U30:Z30)</f>
        <v>4</v>
      </c>
      <c r="AJ22" s="5">
        <f>T30</f>
        <v>90</v>
      </c>
      <c r="AK22" s="5">
        <f>AA30</f>
        <v>94</v>
      </c>
      <c r="AQ22" s="31"/>
      <c r="BC22" s="41"/>
    </row>
    <row r="23" spans="3:55" ht="14.25" customHeight="1" thickBot="1">
      <c r="C23" s="77"/>
      <c r="D23" s="77"/>
      <c r="E23" s="78" t="s">
        <v>213</v>
      </c>
      <c r="F23" s="107">
        <f>SUM(F15,F22)</f>
        <v>180</v>
      </c>
      <c r="G23" s="107">
        <f t="shared" ref="G23:M23" si="26">SUM(G15,G22)</f>
        <v>0</v>
      </c>
      <c r="H23" s="107">
        <f t="shared" si="26"/>
        <v>0</v>
      </c>
      <c r="I23" s="107">
        <f t="shared" si="26"/>
        <v>0</v>
      </c>
      <c r="J23" s="107">
        <f t="shared" si="26"/>
        <v>0</v>
      </c>
      <c r="K23" s="107">
        <f t="shared" si="26"/>
        <v>4</v>
      </c>
      <c r="L23" s="107">
        <f t="shared" si="26"/>
        <v>0</v>
      </c>
      <c r="M23" s="107">
        <f t="shared" si="26"/>
        <v>184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35</v>
      </c>
      <c r="AK23" s="5">
        <f t="shared" ref="AK23:AK25" si="32">AA31</f>
        <v>35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4</v>
      </c>
      <c r="AK24" s="5">
        <f t="shared" si="32"/>
        <v>4</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0</v>
      </c>
      <c r="AF26" s="37">
        <f t="shared" si="28"/>
        <v>0</v>
      </c>
      <c r="AG26" s="37">
        <f>'Cost Burden'!Z34</f>
        <v>0</v>
      </c>
      <c r="AH26" s="37">
        <f t="shared" si="29"/>
        <v>4</v>
      </c>
      <c r="AI26" s="37">
        <f t="shared" si="30"/>
        <v>4</v>
      </c>
      <c r="AJ26" s="37">
        <f t="shared" si="31"/>
        <v>125</v>
      </c>
      <c r="AK26" s="37">
        <f>SUM(AJ26,AE26:AH26)</f>
        <v>129</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Wilkeson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90</v>
      </c>
      <c r="U30" s="1">
        <v>0</v>
      </c>
      <c r="V30" s="1">
        <v>0</v>
      </c>
      <c r="W30" s="1">
        <v>0</v>
      </c>
      <c r="X30" s="1">
        <v>0</v>
      </c>
      <c r="Y30" s="1">
        <v>4</v>
      </c>
      <c r="Z30" s="1">
        <v>0</v>
      </c>
      <c r="AA30" s="5">
        <f>SUM(T30:Z30)</f>
        <v>94</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35</v>
      </c>
      <c r="U31" s="1">
        <v>0</v>
      </c>
      <c r="V31" s="1">
        <v>0</v>
      </c>
      <c r="W31" s="1">
        <v>0</v>
      </c>
      <c r="X31" s="1">
        <v>0</v>
      </c>
      <c r="Y31" s="1">
        <v>0</v>
      </c>
      <c r="Z31" s="1">
        <v>0</v>
      </c>
      <c r="AA31" s="5">
        <f t="shared" ref="AA31:AA34" si="33">SUM(T31:Z31)</f>
        <v>35</v>
      </c>
      <c r="AB31" s="5"/>
      <c r="AC31" s="5"/>
      <c r="AD31" s="5"/>
      <c r="AE31" s="315"/>
      <c r="AF31" s="314"/>
      <c r="AG31" s="316"/>
      <c r="AH31" s="315"/>
      <c r="AI31" s="325"/>
      <c r="AJ31" s="325"/>
      <c r="AK31" s="315"/>
    </row>
    <row r="32" spans="3:55" ht="14.25" customHeight="1">
      <c r="C32" s="5"/>
      <c r="S32" s="33" t="s">
        <v>191</v>
      </c>
      <c r="T32" s="1">
        <v>4</v>
      </c>
      <c r="U32" s="1">
        <v>0</v>
      </c>
      <c r="V32" s="1">
        <v>0</v>
      </c>
      <c r="W32" s="1">
        <v>0</v>
      </c>
      <c r="X32" s="1">
        <v>0</v>
      </c>
      <c r="Y32" s="1">
        <v>0</v>
      </c>
      <c r="Z32" s="1">
        <v>0</v>
      </c>
      <c r="AA32" s="5">
        <f t="shared" si="33"/>
        <v>4</v>
      </c>
      <c r="AB32" s="5"/>
      <c r="AC32" s="5"/>
      <c r="AD32" s="5"/>
      <c r="AE32" s="315"/>
      <c r="AF32" s="314"/>
      <c r="AG32" s="316"/>
      <c r="AH32" s="315"/>
      <c r="AI32" s="325"/>
      <c r="AJ32" s="325"/>
      <c r="AK32" s="315"/>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25</v>
      </c>
      <c r="AK33" s="5">
        <f t="shared" ref="AK33" si="34">SUM(AJ33,AE33:AH33)</f>
        <v>25</v>
      </c>
    </row>
    <row r="34" spans="3:49" ht="15">
      <c r="S34" s="33" t="s">
        <v>190</v>
      </c>
      <c r="T34" s="1">
        <v>125</v>
      </c>
      <c r="U34" s="1">
        <v>0</v>
      </c>
      <c r="V34" s="1">
        <v>0</v>
      </c>
      <c r="W34" s="1">
        <v>0</v>
      </c>
      <c r="X34" s="1">
        <v>0</v>
      </c>
      <c r="Y34" s="1">
        <v>4</v>
      </c>
      <c r="Z34" s="1">
        <v>0</v>
      </c>
      <c r="AA34" s="37">
        <f t="shared" si="33"/>
        <v>129</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25</v>
      </c>
      <c r="AK34" s="5">
        <f t="shared" ref="AK34:AK37" si="40">SUM(AJ34,AE34:AH34)</f>
        <v>25</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10</v>
      </c>
      <c r="AK35" s="5">
        <f t="shared" si="40"/>
        <v>10</v>
      </c>
    </row>
    <row r="36" spans="3:49">
      <c r="S36" s="114" t="s">
        <v>202</v>
      </c>
      <c r="T36" s="114">
        <f>SUM(T31:T32)</f>
        <v>39</v>
      </c>
      <c r="U36" s="114">
        <f t="shared" ref="U36:Z36" si="41">SUM(U31:U32)</f>
        <v>0</v>
      </c>
      <c r="V36" s="114">
        <f t="shared" si="41"/>
        <v>0</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55</v>
      </c>
      <c r="AK37" s="37">
        <f t="shared" si="40"/>
        <v>55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35</v>
      </c>
      <c r="AK39" s="114">
        <f>SUM(AJ39,AE39:AH39)</f>
        <v>35</v>
      </c>
    </row>
    <row r="40" spans="3:49">
      <c r="T40" s="57" t="s">
        <v>81</v>
      </c>
      <c r="U40" s="57" t="s">
        <v>81</v>
      </c>
      <c r="V40" s="57" t="s">
        <v>81</v>
      </c>
      <c r="W40" s="57" t="s">
        <v>81</v>
      </c>
      <c r="X40" s="57" t="s">
        <v>81</v>
      </c>
      <c r="Y40" s="57" t="s">
        <v>81</v>
      </c>
      <c r="Z40" s="57" t="s">
        <v>81</v>
      </c>
      <c r="AE40" s="6">
        <f>AJ39/AJ37</f>
        <v>0.63636363636363635</v>
      </c>
      <c r="AF40" s="6" t="e">
        <f>AI39/AI37</f>
        <v>#DIV/0!</v>
      </c>
      <c r="AG40" s="6" t="e">
        <f>AE39/AE37</f>
        <v>#DIV/0!</v>
      </c>
      <c r="AH40" s="6" t="e">
        <f>AF39/AF37</f>
        <v>#DIV/0!</v>
      </c>
      <c r="AI40" s="6" t="e">
        <f>AH39/AH37</f>
        <v>#DIV/0!</v>
      </c>
      <c r="AJ40" s="6" t="e">
        <f>AG39/AG37</f>
        <v>#DIV/0!</v>
      </c>
      <c r="AK40" s="6">
        <f>AK39/AK37</f>
        <v>0.63636363636363635</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0.39153439153439151</v>
      </c>
    </row>
    <row r="48" spans="3:49" ht="14.25" customHeight="1">
      <c r="AC48" s="31"/>
      <c r="AD48" s="31" t="s">
        <v>281</v>
      </c>
      <c r="AE48" s="44">
        <f>1-AE47</f>
        <v>1</v>
      </c>
      <c r="AF48" s="44">
        <f>1-AF47</f>
        <v>1</v>
      </c>
      <c r="AG48" s="44">
        <f>1-AG47</f>
        <v>1</v>
      </c>
      <c r="AH48" s="44">
        <f>1-AH47</f>
        <v>1</v>
      </c>
      <c r="AJ48" s="44">
        <f>1-AJ47</f>
        <v>1</v>
      </c>
      <c r="AK48" s="44">
        <f>1-AK47</f>
        <v>0.60846560846560849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ht="15">
      <c r="C50" s="324" t="s">
        <v>228</v>
      </c>
      <c r="D50" s="324"/>
      <c r="E50" s="324"/>
      <c r="F50" s="324"/>
      <c r="G50" s="324"/>
      <c r="H50" s="324"/>
      <c r="I50" s="324"/>
      <c r="J50" s="324"/>
      <c r="K50" s="324"/>
      <c r="S50" s="33" t="s">
        <v>199</v>
      </c>
      <c r="T50" s="1">
        <v>25</v>
      </c>
      <c r="U50" s="1">
        <v>0</v>
      </c>
      <c r="V50" s="1">
        <v>0</v>
      </c>
      <c r="W50" s="1">
        <v>0</v>
      </c>
      <c r="X50" s="1">
        <v>0</v>
      </c>
      <c r="Y50" s="1">
        <v>0</v>
      </c>
      <c r="Z50" s="1">
        <v>0</v>
      </c>
      <c r="AA50" s="5">
        <f>SUM(T50:Z50)</f>
        <v>25</v>
      </c>
      <c r="AB50" s="56"/>
      <c r="AC50" s="31"/>
      <c r="AD50" s="31" t="s">
        <v>199</v>
      </c>
      <c r="AE50" s="44" t="e">
        <f>AE10/AE14</f>
        <v>#DIV/0!</v>
      </c>
      <c r="AF50" s="44" t="e">
        <f t="shared" ref="AF50:AH50" si="44">AF10/AF14</f>
        <v>#DIV/0!</v>
      </c>
      <c r="AG50" s="44" t="e">
        <f t="shared" si="44"/>
        <v>#DIV/0!</v>
      </c>
      <c r="AH50" s="44">
        <f t="shared" si="44"/>
        <v>1</v>
      </c>
      <c r="AJ50" s="44">
        <f>AI10/AI14</f>
        <v>1</v>
      </c>
      <c r="AK50" s="44">
        <f>AJ10/AJ14</f>
        <v>0.60846560846560849</v>
      </c>
      <c r="AL50" s="31"/>
      <c r="AM50" s="31"/>
      <c r="AN50" s="31"/>
      <c r="AO50" s="31"/>
    </row>
    <row r="51" spans="3:48" ht="14.25" customHeight="1">
      <c r="C51" s="324"/>
      <c r="D51" s="324"/>
      <c r="E51" s="324"/>
      <c r="F51" s="324"/>
      <c r="G51" s="324"/>
      <c r="H51" s="324"/>
      <c r="I51" s="324"/>
      <c r="J51" s="324"/>
      <c r="K51" s="324"/>
      <c r="S51" s="33" t="s">
        <v>192</v>
      </c>
      <c r="T51" s="1">
        <v>25</v>
      </c>
      <c r="U51" s="1">
        <v>0</v>
      </c>
      <c r="V51" s="1">
        <v>0</v>
      </c>
      <c r="W51" s="1">
        <v>0</v>
      </c>
      <c r="X51" s="1">
        <v>0</v>
      </c>
      <c r="Y51" s="1">
        <v>0</v>
      </c>
      <c r="Z51" s="1">
        <v>0</v>
      </c>
      <c r="AA51" s="5">
        <f t="shared" ref="AA51:AA54" si="45">SUM(T51:Z51)</f>
        <v>25</v>
      </c>
      <c r="AB51" s="56"/>
      <c r="AD51" s="31" t="s">
        <v>192</v>
      </c>
      <c r="AE51" s="44" t="e">
        <f>AE11/AE14</f>
        <v>#DIV/0!</v>
      </c>
      <c r="AF51" s="44" t="e">
        <f t="shared" ref="AF51:AH51" si="46">AF11/AF14</f>
        <v>#DIV/0!</v>
      </c>
      <c r="AG51" s="44" t="e">
        <f t="shared" si="46"/>
        <v>#DIV/0!</v>
      </c>
      <c r="AH51" s="44">
        <f t="shared" si="46"/>
        <v>0</v>
      </c>
      <c r="AJ51" s="44">
        <f>AI11/AI14</f>
        <v>0</v>
      </c>
      <c r="AK51" s="44">
        <f>AJ11/AJ14</f>
        <v>0.31746031746031744</v>
      </c>
      <c r="AL51" s="31"/>
      <c r="AM51" s="31"/>
      <c r="AN51" s="31"/>
      <c r="AO51" s="31"/>
    </row>
    <row r="52" spans="3:48">
      <c r="S52" s="33" t="s">
        <v>191</v>
      </c>
      <c r="T52" s="1">
        <v>10</v>
      </c>
      <c r="U52" s="1">
        <v>0</v>
      </c>
      <c r="V52" s="1">
        <v>0</v>
      </c>
      <c r="W52" s="1">
        <v>0</v>
      </c>
      <c r="X52" s="1">
        <v>0</v>
      </c>
      <c r="Y52" s="1">
        <v>0</v>
      </c>
      <c r="Z52" s="1">
        <v>0</v>
      </c>
      <c r="AA52" s="5">
        <f t="shared" si="45"/>
        <v>10</v>
      </c>
      <c r="AD52" s="31" t="s">
        <v>191</v>
      </c>
      <c r="AE52" s="44" t="e">
        <f>AE12/AE14</f>
        <v>#DIV/0!</v>
      </c>
      <c r="AF52" s="44" t="e">
        <f t="shared" ref="AF52:AH52" si="47">AF12/AF14</f>
        <v>#DIV/0!</v>
      </c>
      <c r="AG52" s="44" t="e">
        <f t="shared" si="47"/>
        <v>#DIV/0!</v>
      </c>
      <c r="AH52" s="44">
        <f t="shared" si="47"/>
        <v>0</v>
      </c>
      <c r="AJ52" s="44">
        <f>AI12/AI14</f>
        <v>0</v>
      </c>
      <c r="AK52" s="44">
        <f>AJ12/AJ14</f>
        <v>7.407407407407407E-2</v>
      </c>
      <c r="AL52" s="31"/>
      <c r="AM52" s="31"/>
      <c r="AN52" s="31"/>
      <c r="AO52" s="31"/>
    </row>
    <row r="53" spans="3:48" ht="18" customHeight="1">
      <c r="C53" s="302" t="str">
        <f>"Chart 4a. "&amp;City_label&amp;" total housing cost burden by racial and ethnic group, 2019"</f>
        <v>Chart 4a. Wilkeson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55</v>
      </c>
      <c r="U54" s="1">
        <v>0</v>
      </c>
      <c r="V54" s="1">
        <v>0</v>
      </c>
      <c r="W54" s="1">
        <v>0</v>
      </c>
      <c r="X54" s="1">
        <v>0</v>
      </c>
      <c r="Y54" s="1">
        <v>0</v>
      </c>
      <c r="Z54" s="1">
        <v>0</v>
      </c>
      <c r="AA54" s="37">
        <f t="shared" si="45"/>
        <v>55</v>
      </c>
      <c r="AD54" s="59" t="s">
        <v>11</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39%</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35</v>
      </c>
      <c r="U56" s="57">
        <f t="shared" si="48"/>
        <v>0</v>
      </c>
      <c r="V56" s="57">
        <f t="shared" si="48"/>
        <v>0</v>
      </c>
      <c r="W56" s="57">
        <f t="shared" si="48"/>
        <v>0</v>
      </c>
      <c r="X56" s="57">
        <f t="shared" si="48"/>
        <v>0</v>
      </c>
      <c r="Y56" s="57">
        <f t="shared" si="48"/>
        <v>0</v>
      </c>
      <c r="Z56" s="57">
        <f t="shared" si="48"/>
        <v>0</v>
      </c>
      <c r="AD56" s="31" t="s">
        <v>202</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0.31200000000000006</v>
      </c>
      <c r="AL56" s="31"/>
      <c r="AM56" s="31"/>
      <c r="AN56" s="31"/>
      <c r="AO56" s="31"/>
    </row>
    <row r="57" spans="3:48" ht="14.25" customHeight="1">
      <c r="AD57" s="31" t="s">
        <v>281</v>
      </c>
      <c r="AE57" s="44">
        <f>1-AE56</f>
        <v>1</v>
      </c>
      <c r="AF57" s="44">
        <f>1-AF56</f>
        <v>1</v>
      </c>
      <c r="AG57" s="44">
        <f>1-AG56</f>
        <v>1</v>
      </c>
      <c r="AH57" s="44">
        <f>1-AH56</f>
        <v>1</v>
      </c>
      <c r="AJ57" s="44">
        <f>1-AJ56</f>
        <v>1</v>
      </c>
      <c r="AK57" s="44">
        <f>1-AK56</f>
        <v>0.68799999999999994</v>
      </c>
      <c r="AL57" s="31"/>
      <c r="AM57" s="31"/>
      <c r="AN57" s="31"/>
      <c r="AO57" s="31"/>
      <c r="AS57" s="31"/>
      <c r="AT57" s="31"/>
      <c r="AU57" s="31"/>
      <c r="AV57" s="31"/>
    </row>
    <row r="58" spans="3:48" ht="14.25" customHeight="1">
      <c r="AD58" s="31" t="s">
        <v>194</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t="e">
        <f>AE22/AE26</f>
        <v>#DIV/0!</v>
      </c>
      <c r="AF59" s="44" t="e">
        <f t="shared" ref="AF59:AH59" si="52">AF22/AF26</f>
        <v>#DIV/0!</v>
      </c>
      <c r="AG59" s="44" t="e">
        <f t="shared" si="52"/>
        <v>#DIV/0!</v>
      </c>
      <c r="AH59" s="44">
        <f t="shared" si="52"/>
        <v>1</v>
      </c>
      <c r="AJ59" s="44">
        <f>AI22/AI26</f>
        <v>1</v>
      </c>
      <c r="AK59" s="44">
        <f>AJ22/AJ26</f>
        <v>0.72</v>
      </c>
      <c r="AL59" s="31"/>
      <c r="AM59" s="31"/>
      <c r="AN59" s="31"/>
      <c r="AO59" s="31"/>
      <c r="AQ59" s="31"/>
      <c r="AR59" s="31"/>
      <c r="AS59" s="31"/>
      <c r="AT59" s="31"/>
      <c r="AU59" s="31"/>
      <c r="AV59" s="31"/>
    </row>
    <row r="60" spans="3:48">
      <c r="AD60" s="31" t="s">
        <v>192</v>
      </c>
      <c r="AE60" s="44" t="e">
        <f>AE23/AE26</f>
        <v>#DIV/0!</v>
      </c>
      <c r="AF60" s="44" t="e">
        <f t="shared" ref="AF60:AH60" si="53">AF23/AF26</f>
        <v>#DIV/0!</v>
      </c>
      <c r="AG60" s="44" t="e">
        <f t="shared" si="53"/>
        <v>#DIV/0!</v>
      </c>
      <c r="AH60" s="44">
        <f t="shared" si="53"/>
        <v>0</v>
      </c>
      <c r="AJ60" s="44">
        <f>AI23/AI26</f>
        <v>0</v>
      </c>
      <c r="AK60" s="44">
        <f>AJ23/AJ26</f>
        <v>0.28000000000000003</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t="e">
        <f>AE24/AE26</f>
        <v>#DIV/0!</v>
      </c>
      <c r="AF61" s="44" t="e">
        <f t="shared" ref="AF61:AH61" si="54">AF24/AF26</f>
        <v>#DIV/0!</v>
      </c>
      <c r="AG61" s="44" t="e">
        <f t="shared" si="54"/>
        <v>#DIV/0!</v>
      </c>
      <c r="AH61" s="44">
        <f t="shared" si="54"/>
        <v>0</v>
      </c>
      <c r="AJ61" s="44">
        <f>AI24/AI26</f>
        <v>0</v>
      </c>
      <c r="AK61" s="44">
        <f>AJ24/AJ26</f>
        <v>3.2000000000000001E-2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31%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0.63636363636363635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0.36363636363636365</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0.45454545454545453</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0.45454545454545453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0.18181818181818182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64%</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Wilkeson number of owner households by race and cost burden, 2019</v>
      </c>
      <c r="D76" s="302"/>
      <c r="E76" s="302"/>
      <c r="F76" s="302"/>
      <c r="G76" s="302"/>
      <c r="H76" s="302"/>
      <c r="I76" s="302"/>
      <c r="J76" s="302"/>
      <c r="K76" s="302"/>
      <c r="L76" s="302"/>
      <c r="M76" s="302"/>
      <c r="S76" s="33" t="s">
        <v>199</v>
      </c>
      <c r="T76" s="1">
        <v>12</v>
      </c>
      <c r="U76" s="1">
        <v>12</v>
      </c>
      <c r="V76" s="1">
        <v>12</v>
      </c>
      <c r="W76" s="1">
        <v>12</v>
      </c>
      <c r="X76" s="1">
        <v>1</v>
      </c>
      <c r="Y76" s="1">
        <v>12</v>
      </c>
      <c r="Z76" s="1">
        <v>27</v>
      </c>
    </row>
    <row r="77" spans="3:48">
      <c r="C77" s="302"/>
      <c r="D77" s="302"/>
      <c r="E77" s="302"/>
      <c r="F77" s="302"/>
      <c r="G77" s="302"/>
      <c r="H77" s="302"/>
      <c r="I77" s="302"/>
      <c r="J77" s="302"/>
      <c r="K77" s="302"/>
      <c r="L77" s="302"/>
      <c r="M77" s="302"/>
      <c r="S77" s="33" t="s">
        <v>192</v>
      </c>
      <c r="T77" s="1">
        <v>12</v>
      </c>
      <c r="U77" s="1">
        <v>12</v>
      </c>
      <c r="V77" s="1">
        <v>12</v>
      </c>
      <c r="W77" s="1">
        <v>12</v>
      </c>
      <c r="X77" s="1">
        <v>12</v>
      </c>
      <c r="Y77" s="1">
        <v>12</v>
      </c>
      <c r="Z77" s="1">
        <v>17</v>
      </c>
    </row>
    <row r="78" spans="3:48">
      <c r="S78" s="33" t="s">
        <v>191</v>
      </c>
      <c r="T78" s="1">
        <v>12</v>
      </c>
      <c r="U78" s="1">
        <v>12</v>
      </c>
      <c r="V78" s="1">
        <v>12</v>
      </c>
      <c r="W78" s="1">
        <v>12</v>
      </c>
      <c r="X78" s="1">
        <v>12</v>
      </c>
      <c r="Y78" s="1">
        <v>12</v>
      </c>
      <c r="Z78" s="1">
        <v>8</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48</v>
      </c>
      <c r="V80" s="37">
        <f t="shared" si="61"/>
        <v>48</v>
      </c>
      <c r="W80" s="37">
        <f t="shared" si="61"/>
        <v>48</v>
      </c>
      <c r="X80" s="37">
        <f t="shared" si="61"/>
        <v>37</v>
      </c>
      <c r="Y80" s="37">
        <f t="shared" si="61"/>
        <v>48</v>
      </c>
      <c r="Z80" s="37">
        <f t="shared" si="61"/>
        <v>64</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v>
      </c>
      <c r="V83" s="6">
        <f>IFERROR((((V76/1.645)/U30)),0)</f>
        <v>0</v>
      </c>
      <c r="W83" s="6">
        <f>IFERROR((((W76/1.645)/Z30)),0)</f>
        <v>0</v>
      </c>
      <c r="X83" s="6">
        <f>IFERROR((((X76/1.645)/Y30)),0)</f>
        <v>0.1519756838905775</v>
      </c>
      <c r="Y83" s="6">
        <f>IFERROR((((Y76/1.645)/X30)),0)</f>
        <v>0</v>
      </c>
      <c r="Z83" s="6">
        <f>IFERROR((((Z76/1.645)/T30)),0)</f>
        <v>0.18237082066869301</v>
      </c>
    </row>
    <row r="84" spans="19:26">
      <c r="S84" s="33" t="s">
        <v>192</v>
      </c>
      <c r="T84" s="6">
        <f>IFERROR((((T77/1.645)/W31)),0)</f>
        <v>0</v>
      </c>
      <c r="U84" s="6">
        <f>IFERROR((((U77/1.645)/V31)),0)</f>
        <v>0</v>
      </c>
      <c r="V84" s="6">
        <f>IFERROR((((V77/1.645)/U31)),0)</f>
        <v>0</v>
      </c>
      <c r="W84" s="6">
        <f>IFERROR((((W77/1.645)/Z31)),0)</f>
        <v>0</v>
      </c>
      <c r="X84" s="6">
        <f>IFERROR((((X77/1.645)/Y31)),0)</f>
        <v>0</v>
      </c>
      <c r="Y84" s="6">
        <f>IFERROR((((Y77/1.645)/X31)),0)</f>
        <v>0</v>
      </c>
      <c r="Z84" s="6">
        <f>IFERROR((((Z77/1.645)/T31)),0)</f>
        <v>0.29526704298740775</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1.21580547112462</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Wilkeson number of owner households by race and cost burden, 2019</v>
      </c>
      <c r="D100" s="302"/>
      <c r="E100" s="302"/>
      <c r="F100" s="302"/>
      <c r="G100" s="302"/>
      <c r="H100" s="302"/>
      <c r="I100" s="302"/>
      <c r="J100" s="302"/>
      <c r="K100" s="302"/>
      <c r="L100" s="302"/>
      <c r="M100" s="302"/>
      <c r="S100" s="33" t="s">
        <v>199</v>
      </c>
      <c r="T100" s="1">
        <v>12</v>
      </c>
      <c r="U100" s="1">
        <v>12</v>
      </c>
      <c r="V100" s="1">
        <v>12</v>
      </c>
      <c r="W100" s="1">
        <v>12</v>
      </c>
      <c r="X100" s="1">
        <v>12</v>
      </c>
      <c r="Y100" s="1">
        <v>12</v>
      </c>
      <c r="Z100" s="1">
        <v>19</v>
      </c>
    </row>
    <row r="101" spans="3:37" ht="19.5" customHeight="1">
      <c r="C101" s="302"/>
      <c r="D101" s="302"/>
      <c r="E101" s="302"/>
      <c r="F101" s="302"/>
      <c r="G101" s="302"/>
      <c r="H101" s="302"/>
      <c r="I101" s="302"/>
      <c r="J101" s="302"/>
      <c r="K101" s="302"/>
      <c r="L101" s="302"/>
      <c r="M101" s="302"/>
      <c r="S101" s="33" t="s">
        <v>192</v>
      </c>
      <c r="T101" s="1">
        <v>12</v>
      </c>
      <c r="U101" s="1">
        <v>12</v>
      </c>
      <c r="V101" s="1">
        <v>12</v>
      </c>
      <c r="W101" s="1">
        <v>12</v>
      </c>
      <c r="X101" s="1">
        <v>12</v>
      </c>
      <c r="Y101" s="1">
        <v>12</v>
      </c>
      <c r="Z101" s="1">
        <v>19</v>
      </c>
    </row>
    <row r="102" spans="3:37">
      <c r="S102" s="33" t="s">
        <v>191</v>
      </c>
      <c r="T102" s="1">
        <v>12</v>
      </c>
      <c r="U102" s="1">
        <v>12</v>
      </c>
      <c r="V102" s="1">
        <v>12</v>
      </c>
      <c r="W102" s="1">
        <v>12</v>
      </c>
      <c r="X102" s="1">
        <v>12</v>
      </c>
      <c r="Y102" s="1">
        <v>12</v>
      </c>
      <c r="Z102" s="1">
        <v>13</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48</v>
      </c>
      <c r="Y104" s="37">
        <f t="shared" si="62"/>
        <v>48</v>
      </c>
      <c r="Z104" s="37">
        <f t="shared" si="62"/>
        <v>63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0.46200607902735563</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0.46200607902735563</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0.79027355623100304</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Wilkeson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Wilkeson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Wilkeson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1</v>
      </c>
      <c r="G181" s="116">
        <f>AK50</f>
        <v>0.60846560846560849</v>
      </c>
      <c r="H181" s="269" t="e">
        <f>AE50</f>
        <v>#DIV/0!</v>
      </c>
      <c r="I181" s="270" t="e">
        <f>AF50</f>
        <v>#DIV/0!</v>
      </c>
      <c r="J181" s="270" t="e">
        <f>AG50</f>
        <v>#DIV/0!</v>
      </c>
      <c r="K181" s="270">
        <f>AH50</f>
        <v>1</v>
      </c>
    </row>
    <row r="182" spans="3:28" ht="18.75" customHeight="1">
      <c r="C182" s="29" t="s">
        <v>202</v>
      </c>
      <c r="D182" s="29"/>
      <c r="E182" s="29"/>
      <c r="F182" s="116" t="str">
        <f>AJ47</f>
        <v>0</v>
      </c>
      <c r="G182" s="116">
        <f>AK47</f>
        <v>0.39153439153439151</v>
      </c>
      <c r="H182" s="269" t="str">
        <f>AE47</f>
        <v>0</v>
      </c>
      <c r="I182" s="270" t="str">
        <f>AF47</f>
        <v>0</v>
      </c>
      <c r="J182" s="270" t="str">
        <f>AG47</f>
        <v>0</v>
      </c>
      <c r="K182" s="270" t="str">
        <f>AH47</f>
        <v>0</v>
      </c>
    </row>
    <row r="183" spans="3:28" ht="18.75" customHeight="1">
      <c r="C183" s="121" t="s">
        <v>192</v>
      </c>
      <c r="D183" s="118"/>
      <c r="E183" s="118"/>
      <c r="F183" s="122">
        <f>AJ51</f>
        <v>0</v>
      </c>
      <c r="G183" s="122">
        <f>AK51</f>
        <v>0.31746031746031744</v>
      </c>
      <c r="H183" s="271" t="e">
        <f t="shared" ref="H183:K184" si="63">AE51</f>
        <v>#DIV/0!</v>
      </c>
      <c r="I183" s="272" t="e">
        <f t="shared" si="63"/>
        <v>#DIV/0!</v>
      </c>
      <c r="J183" s="272" t="e">
        <f t="shared" si="63"/>
        <v>#DIV/0!</v>
      </c>
      <c r="K183" s="272">
        <f t="shared" si="63"/>
        <v>0</v>
      </c>
    </row>
    <row r="184" spans="3:28">
      <c r="C184" s="121" t="s">
        <v>191</v>
      </c>
      <c r="D184" s="118"/>
      <c r="E184" s="118"/>
      <c r="F184" s="122">
        <f>AJ52</f>
        <v>0</v>
      </c>
      <c r="G184" s="122">
        <f>AK52</f>
        <v>7.407407407407407E-2</v>
      </c>
      <c r="H184" s="271" t="e">
        <f t="shared" si="63"/>
        <v>#DIV/0!</v>
      </c>
      <c r="I184" s="272" t="e">
        <f t="shared" si="63"/>
        <v>#DIV/0!</v>
      </c>
      <c r="J184" s="272" t="e">
        <f t="shared" si="63"/>
        <v>#DIV/0!</v>
      </c>
      <c r="K184" s="272">
        <f t="shared" si="63"/>
        <v>0</v>
      </c>
    </row>
    <row r="185" spans="3:28">
      <c r="C185" s="29" t="s">
        <v>194</v>
      </c>
      <c r="D185" s="29"/>
      <c r="E185" s="29"/>
      <c r="F185" s="116" t="str">
        <f>AJ49</f>
        <v/>
      </c>
      <c r="G185" s="116" t="str">
        <f>AK49</f>
        <v/>
      </c>
      <c r="H185" s="269" t="e">
        <f>AE49</f>
        <v>#DIV/0!</v>
      </c>
      <c r="I185" s="270" t="e">
        <f>AF49</f>
        <v>#DIV/0!</v>
      </c>
      <c r="J185" s="270" t="e">
        <f>AG49</f>
        <v>#DIV/0!</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1</v>
      </c>
      <c r="G187" s="116">
        <f>AK59</f>
        <v>0.72</v>
      </c>
      <c r="H187" s="269" t="e">
        <f>AE59</f>
        <v>#DIV/0!</v>
      </c>
      <c r="I187" s="270" t="e">
        <f>AF59</f>
        <v>#DIV/0!</v>
      </c>
      <c r="J187" s="270" t="e">
        <f>AG59</f>
        <v>#DIV/0!</v>
      </c>
      <c r="K187" s="270">
        <f>AH59</f>
        <v>1</v>
      </c>
      <c r="AA187" s="99"/>
      <c r="AB187" s="99"/>
    </row>
    <row r="188" spans="3:28" ht="14.25" customHeight="1">
      <c r="C188" s="29" t="s">
        <v>202</v>
      </c>
      <c r="D188" s="29"/>
      <c r="E188" s="29"/>
      <c r="F188" s="116" t="str">
        <f>AJ56</f>
        <v>0</v>
      </c>
      <c r="G188" s="116">
        <f>AK56</f>
        <v>0.31200000000000006</v>
      </c>
      <c r="H188" s="269" t="str">
        <f>AE56</f>
        <v>0%</v>
      </c>
      <c r="I188" s="270" t="str">
        <f>AF56</f>
        <v>0%</v>
      </c>
      <c r="J188" s="270" t="str">
        <f>AG56</f>
        <v>0%</v>
      </c>
      <c r="K188" s="270" t="str">
        <f>AH56</f>
        <v>0%</v>
      </c>
      <c r="AA188" s="99"/>
      <c r="AB188" s="99"/>
    </row>
    <row r="189" spans="3:28" ht="14.25" customHeight="1">
      <c r="C189" s="121" t="s">
        <v>192</v>
      </c>
      <c r="D189" s="118"/>
      <c r="E189" s="118"/>
      <c r="F189" s="122">
        <f>AJ60</f>
        <v>0</v>
      </c>
      <c r="G189" s="122">
        <f>AK60</f>
        <v>0.28000000000000003</v>
      </c>
      <c r="H189" s="271" t="e">
        <f t="shared" ref="H189:K190" si="64">AE60</f>
        <v>#DIV/0!</v>
      </c>
      <c r="I189" s="272" t="e">
        <f t="shared" si="64"/>
        <v>#DIV/0!</v>
      </c>
      <c r="J189" s="272" t="e">
        <f t="shared" si="64"/>
        <v>#DIV/0!</v>
      </c>
      <c r="K189" s="272">
        <f t="shared" si="64"/>
        <v>0</v>
      </c>
      <c r="S189" s="99"/>
      <c r="T189" s="82"/>
    </row>
    <row r="190" spans="3:28" ht="14.25" customHeight="1">
      <c r="C190" s="121" t="s">
        <v>191</v>
      </c>
      <c r="D190" s="118"/>
      <c r="E190" s="118"/>
      <c r="F190" s="122">
        <f>AJ61</f>
        <v>0</v>
      </c>
      <c r="G190" s="122">
        <f>AK61</f>
        <v>3.2000000000000001E-2</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0.45454545454545453</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0.63636363636363635</v>
      </c>
      <c r="H194" s="269" t="str">
        <f>AE65</f>
        <v>0%</v>
      </c>
      <c r="I194" s="270" t="str">
        <f>AF65</f>
        <v>0%</v>
      </c>
      <c r="J194" s="270" t="str">
        <f>AG65</f>
        <v>0%</v>
      </c>
      <c r="K194" s="270" t="str">
        <f>AH65</f>
        <v>0%</v>
      </c>
    </row>
    <row r="195" spans="3:26" ht="14.25" customHeight="1">
      <c r="C195" s="121" t="s">
        <v>192</v>
      </c>
      <c r="D195" s="118"/>
      <c r="E195" s="118"/>
      <c r="F195" s="122" t="e">
        <f>AJ69</f>
        <v>#DIV/0!</v>
      </c>
      <c r="G195" s="122">
        <f>AK69</f>
        <v>0.45454545454545453</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0.18181818181818182</v>
      </c>
      <c r="H196" s="271" t="e">
        <f t="shared" si="65"/>
        <v>#DIV/0!</v>
      </c>
      <c r="I196" s="272" t="e">
        <f t="shared" si="65"/>
        <v>#DIV/0!</v>
      </c>
      <c r="J196" s="272" t="e">
        <f t="shared" si="65"/>
        <v>#DIV/0!</v>
      </c>
      <c r="K196" s="272" t="e">
        <f t="shared" si="65"/>
        <v>#DIV/0!</v>
      </c>
    </row>
    <row r="197" spans="3:26" ht="15" thickBot="1">
      <c r="C197" s="29" t="s">
        <v>194</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Wilkeson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Wilkeson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Wilkeson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Wilkeson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Wilkeson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Wilkeson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Wilkeson and Pierce County rental units by affordability and households by income, 2019</v>
      </c>
      <c r="D5" s="329"/>
      <c r="E5" s="329"/>
      <c r="F5" s="329"/>
      <c r="G5" s="329"/>
      <c r="H5" s="329"/>
      <c r="I5" s="329"/>
      <c r="J5" s="329"/>
      <c r="K5" s="329"/>
      <c r="L5" s="329"/>
      <c r="AA5" s="16" t="s">
        <v>127</v>
      </c>
      <c r="AB5" s="305" t="str">
        <f>City</f>
        <v>Wilkeson town, Washington</v>
      </c>
      <c r="AC5" s="305"/>
      <c r="BP5" s="201"/>
      <c r="BQ5" s="334"/>
      <c r="BR5" s="335"/>
    </row>
    <row r="6" spans="3:70" ht="18" customHeight="1">
      <c r="C6" s="329"/>
      <c r="D6" s="329"/>
      <c r="E6" s="329"/>
      <c r="F6" s="329"/>
      <c r="G6" s="329"/>
      <c r="H6" s="329"/>
      <c r="I6" s="329"/>
      <c r="J6" s="329"/>
      <c r="K6" s="329"/>
      <c r="L6" s="329"/>
      <c r="AA6" s="16" t="s">
        <v>128</v>
      </c>
      <c r="AB6" s="305" t="str">
        <f>County</f>
        <v>Pierce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Wilkeson</v>
      </c>
      <c r="G8" s="219"/>
      <c r="H8" s="218"/>
      <c r="I8" s="65" t="str">
        <f>City_label</f>
        <v>Wilkeson</v>
      </c>
      <c r="J8" s="219"/>
      <c r="K8" s="65" t="str">
        <f>County_label</f>
        <v>Pierce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Wilkeson</v>
      </c>
      <c r="AD10" s="63"/>
      <c r="AE10" s="220"/>
      <c r="AF10" s="63" t="str">
        <f>County_label</f>
        <v>Pierce County</v>
      </c>
      <c r="AG10" s="63"/>
      <c r="AH10" s="220"/>
      <c r="AK10" s="63" t="str">
        <f>City_label</f>
        <v>Wilkeson</v>
      </c>
      <c r="AL10" s="63"/>
      <c r="AM10" s="16"/>
      <c r="AN10" s="63" t="str">
        <f>County_label</f>
        <v>Pierce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10</v>
      </c>
      <c r="G11" s="208">
        <f>SUM(AD22:AE22)</f>
        <v>4</v>
      </c>
      <c r="H11" s="209"/>
      <c r="I11" s="255">
        <f>AC22/$AC$27</f>
        <v>0.18181818181818182</v>
      </c>
      <c r="J11" s="255">
        <f>SUM(AD22:AE22)/SUM($AD$27:$AE$27)</f>
        <v>6.25E-2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4</v>
      </c>
      <c r="G12" s="208">
        <f t="shared" ref="G12:G14" si="1">SUM(AD23:AE23)</f>
        <v>10</v>
      </c>
      <c r="H12" s="209"/>
      <c r="I12" s="255">
        <f t="shared" ref="I12:I15" si="2">AC23/$AC$27</f>
        <v>7.2727272727272724E-2</v>
      </c>
      <c r="J12" s="255">
        <f t="shared" ref="J12:J14" si="3">SUM(AD23:AE23)/SUM($AD$27:$AE$27)</f>
        <v>0.15625</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0.18181818181818182</v>
      </c>
      <c r="AL12" s="222">
        <f>SUM(AD22:AE22)/SUM($AD$27:$AE$27)</f>
        <v>6.25E-2</v>
      </c>
      <c r="AN12" s="222">
        <f>AF22/AF$27</f>
        <v>0.20288257390168218</v>
      </c>
      <c r="AO12" s="222">
        <f>SUM(AG22:AH22)/SUM($AG$27:$AH$27)</f>
        <v>8.7736950134825131E-2</v>
      </c>
      <c r="BA12" s="317"/>
      <c r="BB12" s="317"/>
      <c r="BC12" s="317"/>
      <c r="BD12" s="317"/>
      <c r="BE12" s="317"/>
      <c r="BF12" s="317"/>
      <c r="BG12" s="317"/>
      <c r="BH12" s="317"/>
      <c r="BI12" s="317"/>
      <c r="BJ12" s="317"/>
      <c r="BK12" s="317"/>
      <c r="BL12" s="317"/>
    </row>
    <row r="13" spans="3:70" ht="18" customHeight="1">
      <c r="C13" s="43" t="s">
        <v>365</v>
      </c>
      <c r="D13" s="29"/>
      <c r="E13" s="29"/>
      <c r="F13" s="208">
        <f t="shared" si="0"/>
        <v>15</v>
      </c>
      <c r="G13" s="208">
        <f t="shared" si="1"/>
        <v>40</v>
      </c>
      <c r="H13" s="209"/>
      <c r="I13" s="255">
        <f t="shared" si="2"/>
        <v>0.27272727272727271</v>
      </c>
      <c r="J13" s="255">
        <f t="shared" si="3"/>
        <v>0.625</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7.2727272727272724E-2</v>
      </c>
      <c r="AL13" s="222">
        <f t="shared" ref="AL13:AL15" si="6">SUM(AD23:AE23)/SUM($AD$27:$AE$27)</f>
        <v>0.15625</v>
      </c>
      <c r="AN13" s="222">
        <f t="shared" ref="AN13:AN14" si="7">AF23/AF$27</f>
        <v>0.17397517556753225</v>
      </c>
      <c r="AO13" s="222">
        <f t="shared" ref="AO13:AO15" si="8">SUM(AG23:AH23)/SUM($AG$27:$AH$27)</f>
        <v>0.2196240994888719</v>
      </c>
    </row>
    <row r="14" spans="3:70" ht="18" customHeight="1">
      <c r="C14" s="43" t="s">
        <v>369</v>
      </c>
      <c r="D14" s="29"/>
      <c r="E14" s="29"/>
      <c r="F14" s="210">
        <f t="shared" si="0"/>
        <v>15</v>
      </c>
      <c r="G14" s="208">
        <f t="shared" si="1"/>
        <v>10</v>
      </c>
      <c r="H14" s="211"/>
      <c r="I14" s="255">
        <f t="shared" si="2"/>
        <v>0.27272727272727271</v>
      </c>
      <c r="J14" s="255">
        <f t="shared" si="3"/>
        <v>0.15625</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0.27272727272727271</v>
      </c>
      <c r="AL14" s="222">
        <f t="shared" si="6"/>
        <v>0.625</v>
      </c>
      <c r="AN14" s="222">
        <f t="shared" si="7"/>
        <v>0.25142903805324185</v>
      </c>
      <c r="AO14" s="222">
        <f t="shared" si="8"/>
        <v>0.54569968205417152</v>
      </c>
      <c r="BP14" s="185"/>
      <c r="BQ14" s="185"/>
      <c r="BR14" s="185"/>
    </row>
    <row r="15" spans="3:70" ht="18" customHeight="1">
      <c r="C15" s="70" t="s">
        <v>373</v>
      </c>
      <c r="D15" s="70"/>
      <c r="E15" s="70"/>
      <c r="F15" s="212">
        <f t="shared" si="0"/>
        <v>15</v>
      </c>
      <c r="G15" s="212">
        <f>AD26</f>
        <v>0</v>
      </c>
      <c r="H15" s="213"/>
      <c r="I15" s="264">
        <f t="shared" si="2"/>
        <v>0.27272727272727271</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0.54545454545454541</v>
      </c>
      <c r="AL15" s="224">
        <f t="shared" si="6"/>
        <v>0.15625</v>
      </c>
      <c r="AM15" s="35"/>
      <c r="AN15" s="224">
        <f>SUM(AF25:AF26)/AF$27</f>
        <v>0.37171321247754369</v>
      </c>
      <c r="AO15" s="224">
        <f t="shared" si="8"/>
        <v>0.14697951462953274</v>
      </c>
      <c r="BA15" s="7"/>
      <c r="BP15" s="185"/>
      <c r="BQ15" s="338" t="s">
        <v>378</v>
      </c>
      <c r="BR15" s="339"/>
    </row>
    <row r="16" spans="3:70" ht="18" customHeight="1">
      <c r="C16" s="81" t="s">
        <v>150</v>
      </c>
      <c r="D16" s="16"/>
      <c r="E16" s="16"/>
      <c r="F16" s="221">
        <f t="shared" si="0"/>
        <v>55</v>
      </c>
      <c r="G16" s="221">
        <f>SUM(G11:G15)</f>
        <v>64</v>
      </c>
      <c r="AA16" s="28" t="s">
        <v>379</v>
      </c>
      <c r="AC16" s="112" t="s">
        <v>380</v>
      </c>
      <c r="AD16" s="112"/>
      <c r="AE16" s="112"/>
      <c r="AF16" s="112" t="s">
        <v>380</v>
      </c>
      <c r="AG16" s="112"/>
      <c r="AH16" s="112"/>
      <c r="AJ16" s="28"/>
      <c r="AK16" s="223">
        <f>SUM(AK12:AK15)</f>
        <v>1.0727272727272728</v>
      </c>
      <c r="AL16" s="223">
        <f>SUM(AL12:AL15)</f>
        <v>1</v>
      </c>
      <c r="AN16" s="223">
        <f t="shared" ref="AN16:AO16" si="9">SUM(AN12:AN15)</f>
        <v>1</v>
      </c>
      <c r="AO16" s="223">
        <f t="shared" si="9"/>
        <v>1.0000402463074014</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Wilkeson and Pierce County renter household income compared to rental unit affordability, 2019</v>
      </c>
      <c r="D20" s="302"/>
      <c r="E20" s="302"/>
      <c r="F20" s="302"/>
      <c r="G20" s="302"/>
      <c r="H20" s="302"/>
      <c r="I20" s="302"/>
      <c r="J20" s="302"/>
      <c r="K20" s="302"/>
      <c r="L20" s="302"/>
      <c r="AA20" s="31"/>
      <c r="AC20" s="63" t="str">
        <f>City_label</f>
        <v>Wilkeson</v>
      </c>
      <c r="AD20" s="63"/>
      <c r="AE20" s="63"/>
      <c r="AF20" s="63" t="str">
        <f>County_label</f>
        <v>Pierce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10</v>
      </c>
      <c r="AD22" s="1">
        <v>4</v>
      </c>
      <c r="AE22" s="1">
        <v>0</v>
      </c>
      <c r="AF22" s="1">
        <v>24845</v>
      </c>
      <c r="AG22" s="1">
        <v>10720</v>
      </c>
      <c r="AH22" s="1">
        <v>180</v>
      </c>
    </row>
    <row r="23" spans="3:71" ht="17.25" customHeight="1">
      <c r="AA23" s="7" t="s">
        <v>344</v>
      </c>
      <c r="AC23" s="1">
        <v>4</v>
      </c>
      <c r="AD23" s="1">
        <v>10</v>
      </c>
      <c r="AE23" s="1">
        <v>0</v>
      </c>
      <c r="AF23" s="1">
        <v>21305</v>
      </c>
      <c r="AG23" s="1">
        <v>26160</v>
      </c>
      <c r="AH23" s="1">
        <v>1125</v>
      </c>
    </row>
    <row r="24" spans="3:71" ht="17.25" customHeight="1">
      <c r="C24" s="51"/>
      <c r="AA24" s="7" t="s">
        <v>345</v>
      </c>
      <c r="AC24" s="1">
        <v>15</v>
      </c>
      <c r="AD24" s="1">
        <v>40</v>
      </c>
      <c r="AE24" s="1">
        <v>0</v>
      </c>
      <c r="AF24" s="1">
        <v>30790</v>
      </c>
      <c r="AG24" s="1">
        <v>65430</v>
      </c>
      <c r="AH24" s="1">
        <v>2365</v>
      </c>
    </row>
    <row r="25" spans="3:71" ht="17.25" customHeight="1">
      <c r="C25" s="51"/>
      <c r="AA25" s="7" t="s">
        <v>374</v>
      </c>
      <c r="AC25" s="1">
        <v>15</v>
      </c>
      <c r="AD25" s="1">
        <v>10</v>
      </c>
      <c r="AE25" s="1">
        <v>0</v>
      </c>
      <c r="AF25" s="1">
        <v>14525</v>
      </c>
      <c r="AG25" s="1">
        <v>17600</v>
      </c>
      <c r="AH25" s="1">
        <v>660</v>
      </c>
    </row>
    <row r="26" spans="3:71" ht="17.25" customHeight="1">
      <c r="C26" s="51"/>
      <c r="AA26" s="28" t="s">
        <v>379</v>
      </c>
      <c r="AC26" s="1">
        <v>15</v>
      </c>
      <c r="AD26" s="1"/>
      <c r="AE26" s="1"/>
      <c r="AF26" s="1">
        <v>30995</v>
      </c>
      <c r="AG26" s="1"/>
      <c r="AH26" s="1"/>
      <c r="AI26" s="31"/>
    </row>
    <row r="27" spans="3:71" ht="18">
      <c r="C27" s="51"/>
      <c r="AA27" s="7" t="s">
        <v>190</v>
      </c>
      <c r="AC27" s="2">
        <v>55</v>
      </c>
      <c r="AD27" s="1">
        <v>64</v>
      </c>
      <c r="AE27" s="1">
        <v>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10</v>
      </c>
      <c r="AD35" s="33">
        <f>SUM(AD22:AE22)</f>
        <v>4</v>
      </c>
      <c r="AE35" s="188">
        <f>AD35-AC35</f>
        <v>-6</v>
      </c>
      <c r="AF35" s="31"/>
      <c r="AG35" s="5">
        <f>MAX(AC35,AD35)</f>
        <v>10</v>
      </c>
      <c r="AH35" s="5">
        <f>AG35+$AH$39</f>
        <v>11.5</v>
      </c>
      <c r="AI35" t="str">
        <f>IF(AE35&lt;0,"Shortfall:",IF(AE35&gt;0,"Surplus: ",""))&amp;CHAR(10)&amp;TEXT((AE35),"+#,##0;-#,##0;0")&amp;" units"</f>
        <v>Shortfall:
-6 units</v>
      </c>
    </row>
    <row r="36" spans="3:39">
      <c r="AA36" s="7" t="s">
        <v>344</v>
      </c>
      <c r="AB36" s="164" t="s">
        <v>393</v>
      </c>
      <c r="AC36" s="5">
        <f>AC23</f>
        <v>4</v>
      </c>
      <c r="AD36" s="33">
        <f>SUM(AD23:AE23)</f>
        <v>10</v>
      </c>
      <c r="AE36" s="188">
        <f>AD36-AC36</f>
        <v>6</v>
      </c>
      <c r="AF36" s="31"/>
      <c r="AG36" s="5">
        <f>MAX(AC36,AD36)</f>
        <v>10</v>
      </c>
      <c r="AH36" s="5">
        <f>AG36+$AH$39</f>
        <v>11.5</v>
      </c>
      <c r="AI36" t="str">
        <f>IF(AE36&lt;0,"Shortfall:",IF(AE36&gt;0,"Surplus: ",""))&amp;CHAR(10)&amp;TEXT((AE36),"+#,##0;-#,##0;0")&amp;" units"</f>
        <v>Surplus: 
+6 units</v>
      </c>
    </row>
    <row r="37" spans="3:39">
      <c r="AA37" s="7" t="s">
        <v>345</v>
      </c>
      <c r="AB37" s="164" t="s">
        <v>394</v>
      </c>
      <c r="AC37" s="5">
        <f>AC24</f>
        <v>15</v>
      </c>
      <c r="AD37" s="33">
        <f>SUM(AD24:AE24)</f>
        <v>40</v>
      </c>
      <c r="AE37" s="188">
        <f>AD37-AC37</f>
        <v>25</v>
      </c>
      <c r="AF37" s="31"/>
      <c r="AG37" s="5">
        <f>MAX(AC37,AD37)</f>
        <v>40</v>
      </c>
      <c r="AH37" s="5">
        <f>AG37+$AH$39</f>
        <v>41.5</v>
      </c>
      <c r="AI37" t="str">
        <f>IF(AE37&lt;0,"Shortfall:",IF(AE37&gt;0,"Surplus: ",""))&amp;CHAR(10)&amp;TEXT((AE37),"+#,##0;-#,##0;0")&amp;" units"</f>
        <v>Surplus: 
+25 units</v>
      </c>
    </row>
    <row r="38" spans="3:39">
      <c r="AA38" s="7" t="s">
        <v>374</v>
      </c>
      <c r="AB38" s="164" t="s">
        <v>395</v>
      </c>
      <c r="AC38" s="5">
        <f>SUM(AC25:AC26)</f>
        <v>30</v>
      </c>
      <c r="AD38" s="33">
        <f>SUM(AD25:AE25)</f>
        <v>10</v>
      </c>
      <c r="AE38" s="188">
        <f>AD38-AC38</f>
        <v>-20</v>
      </c>
      <c r="AF38" s="31"/>
      <c r="AG38" s="5">
        <f>MAX(AC38,AD38)</f>
        <v>30</v>
      </c>
      <c r="AH38" s="5">
        <f>AG38+$AH$39</f>
        <v>31.5</v>
      </c>
      <c r="AI38" t="str">
        <f>IF(AE38&lt;0,"Shortfall:",IF(AE38&gt;0,"Surplus: ",""))&amp;CHAR(10)&amp;TEXT((AE38),"+#,##0;-#,##0;0")&amp;" units"</f>
        <v>Shortfall:
-20 units</v>
      </c>
    </row>
    <row r="39" spans="3:39">
      <c r="AA39" s="28" t="s">
        <v>379</v>
      </c>
      <c r="AC39" s="5">
        <f>AC27</f>
        <v>55</v>
      </c>
      <c r="AD39" s="33">
        <f>SUM(AD27:AE27)</f>
        <v>64</v>
      </c>
      <c r="AE39" s="33"/>
      <c r="AF39" s="31"/>
      <c r="AG39" s="59" t="s">
        <v>396</v>
      </c>
      <c r="AH39" s="109">
        <f>0.1*MAX(AC35:AC37)</f>
        <v>1.5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Wilkeson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v>
      </c>
      <c r="AD55" s="1">
        <v>4</v>
      </c>
      <c r="AE55" s="1">
        <v>0</v>
      </c>
    </row>
    <row r="56" spans="27:39">
      <c r="AA56" s="7" t="s">
        <v>344</v>
      </c>
      <c r="AB56" s="31" t="s">
        <v>393</v>
      </c>
      <c r="AC56" s="1">
        <v>4</v>
      </c>
      <c r="AD56" s="1">
        <v>4</v>
      </c>
      <c r="AE56" s="1">
        <v>0</v>
      </c>
    </row>
    <row r="57" spans="27:39">
      <c r="AA57" s="7" t="s">
        <v>345</v>
      </c>
      <c r="AB57" s="31" t="s">
        <v>394</v>
      </c>
      <c r="AC57" s="1">
        <v>4</v>
      </c>
      <c r="AD57" s="1">
        <v>15</v>
      </c>
      <c r="AE57" s="1">
        <v>0</v>
      </c>
    </row>
    <row r="58" spans="27:39">
      <c r="AA58" s="7" t="s">
        <v>374</v>
      </c>
      <c r="AB58" s="31" t="s">
        <v>395</v>
      </c>
      <c r="AC58" s="1">
        <v>4</v>
      </c>
      <c r="AD58" s="1">
        <v>15</v>
      </c>
      <c r="AE58" s="1">
        <v>0</v>
      </c>
    </row>
    <row r="59" spans="27:39">
      <c r="AA59" s="28" t="s">
        <v>379</v>
      </c>
      <c r="AB59" s="31"/>
      <c r="AC59" s="1">
        <v>20</v>
      </c>
      <c r="AD59" s="1"/>
      <c r="AE59" s="1"/>
    </row>
    <row r="60" spans="27:39" ht="15">
      <c r="AA60" s="7" t="s">
        <v>190</v>
      </c>
      <c r="AB60" s="31"/>
      <c r="AC60" s="2">
        <v>35</v>
      </c>
      <c r="AD60" s="2">
        <v>35</v>
      </c>
      <c r="AE60" s="2">
        <v>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4</v>
      </c>
      <c r="AD65" s="33">
        <f>SUM(AD55:AE55)</f>
        <v>4</v>
      </c>
      <c r="AE65" s="97">
        <f>AD65-AC65</f>
        <v>0</v>
      </c>
      <c r="AF65" s="31"/>
      <c r="AG65" s="5">
        <f>MAX(AC65,AD65)</f>
        <v>4</v>
      </c>
      <c r="AH65" s="5">
        <f>AG65+$AH$39</f>
        <v>5.5</v>
      </c>
      <c r="AI65" t="str">
        <f>IF(AE65&lt;0,"Shortfall:",IF(AE65&gt;0,"Surplus: ",""))&amp;CHAR(10)&amp;TEXT((AE65),"+#,##0;-#,##0;0")&amp;" units"</f>
        <v xml:space="preserve">
0 units</v>
      </c>
      <c r="AK65" s="31"/>
      <c r="AL65" s="31"/>
      <c r="AM65" s="31"/>
    </row>
    <row r="66" spans="3:39" ht="15">
      <c r="AA66" s="7"/>
      <c r="AB66" s="31" t="s">
        <v>393</v>
      </c>
      <c r="AC66" s="5">
        <f>SUM(AC56)</f>
        <v>4</v>
      </c>
      <c r="AD66" s="33">
        <f>SUM(AD56:AE56)</f>
        <v>4</v>
      </c>
      <c r="AE66" s="97">
        <f>AD66-AC66</f>
        <v>0</v>
      </c>
      <c r="AF66" s="31"/>
      <c r="AG66" s="5">
        <f>MAX(AC66,AD66)</f>
        <v>4</v>
      </c>
      <c r="AH66" s="5">
        <f>AG66+$AH$39</f>
        <v>5.5</v>
      </c>
      <c r="AI66" t="str">
        <f>IF(AE66&lt;0,"Shortfall:",IF(AE66&gt;0,"Surplus: ",""))&amp;CHAR(10)&amp;TEXT((AE66),"+#,##0;-#,##0;0")&amp;" units"</f>
        <v xml:space="preserve">
0 units</v>
      </c>
      <c r="AK66" s="31"/>
      <c r="AL66" s="31"/>
      <c r="AM66" s="31"/>
    </row>
    <row r="67" spans="3:39" ht="15">
      <c r="AA67" s="7"/>
      <c r="AB67" s="31" t="s">
        <v>394</v>
      </c>
      <c r="AC67" s="5">
        <f>SUM(AC57)</f>
        <v>4</v>
      </c>
      <c r="AD67" s="33">
        <f>SUM(AD57:AE57)</f>
        <v>15</v>
      </c>
      <c r="AE67" s="97">
        <f>AD67-AC67</f>
        <v>11</v>
      </c>
      <c r="AF67" s="31"/>
      <c r="AG67" s="5">
        <f>MAX(AC67,AD67)</f>
        <v>15</v>
      </c>
      <c r="AH67" s="5">
        <f>AG67+$AH$39</f>
        <v>16.5</v>
      </c>
      <c r="AI67" t="str">
        <f>IF(AE67&lt;0,"Shortfall:",IF(AE67&gt;0,"Surplus: ",""))&amp;CHAR(10)&amp;TEXT((AE67),"+#,##0;-#,##0;0")&amp;" units"</f>
        <v>Surplus: 
+11 units</v>
      </c>
      <c r="AK67" s="31"/>
      <c r="AL67" s="31"/>
      <c r="AM67" s="31"/>
    </row>
    <row r="68" spans="3:39" ht="18.75" customHeight="1">
      <c r="D68" s="200"/>
      <c r="E68" s="200"/>
      <c r="F68" s="200"/>
      <c r="G68" s="200"/>
      <c r="H68" s="200"/>
      <c r="I68" s="200"/>
      <c r="J68" s="200"/>
      <c r="K68" s="200"/>
      <c r="L68" s="200"/>
      <c r="AA68" s="7"/>
      <c r="AB68" s="31" t="s">
        <v>395</v>
      </c>
      <c r="AC68" s="5">
        <f>SUM(AC58:AC59)</f>
        <v>24</v>
      </c>
      <c r="AD68" s="33">
        <f>SUM(AD58:AE58)</f>
        <v>15</v>
      </c>
      <c r="AE68" s="97">
        <f>AD68-AC68</f>
        <v>-9</v>
      </c>
      <c r="AF68" s="31"/>
      <c r="AG68" s="5">
        <f>MAX(AC68,AD68)</f>
        <v>24</v>
      </c>
      <c r="AH68" s="5">
        <f>AG68+$AH$39</f>
        <v>25.5</v>
      </c>
      <c r="AI68" t="str">
        <f>IF(AE68&lt;0,"Shortfall:",IF(AE68&gt;0,"Surplus: ",""))&amp;CHAR(10)&amp;TEXT((AE68),"+#,##0;-#,##0;0")&amp;" units"</f>
        <v>Shortfall:
-9 units</v>
      </c>
      <c r="AK68" s="31"/>
      <c r="AL68" s="31"/>
      <c r="AM68" s="31"/>
    </row>
    <row r="69" spans="3:39" ht="18.75" customHeight="1">
      <c r="C69" s="200"/>
      <c r="D69" s="200"/>
      <c r="E69" s="200"/>
      <c r="F69" s="200"/>
      <c r="G69" s="200"/>
      <c r="H69" s="200"/>
      <c r="I69" s="200"/>
      <c r="J69" s="200"/>
      <c r="K69" s="200"/>
      <c r="L69" s="200"/>
      <c r="AA69" s="7"/>
      <c r="AB69" s="31"/>
      <c r="AC69" s="5">
        <f>AC60</f>
        <v>35</v>
      </c>
      <c r="AD69" s="33">
        <f>SUM(AD60:AE60)</f>
        <v>35</v>
      </c>
      <c r="AE69" s="33"/>
      <c r="AF69" s="31"/>
      <c r="AG69" s="59" t="s">
        <v>396</v>
      </c>
      <c r="AH69" s="109">
        <f>0.1*MAX(AC65:AC68)</f>
        <v>2.4000000000000004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Wilkeson five year change in renter households by income and rental units by affordability, 2014 - 2019</v>
      </c>
      <c r="D78" s="329"/>
      <c r="E78" s="329"/>
      <c r="F78" s="329"/>
      <c r="G78" s="329"/>
      <c r="H78" s="329"/>
      <c r="I78" s="329"/>
      <c r="J78" s="329"/>
      <c r="K78" s="329"/>
      <c r="L78" s="329"/>
      <c r="AB78" s="31" t="s">
        <v>392</v>
      </c>
      <c r="AC78" s="5">
        <f t="shared" ref="AC78:AD80" si="10">AC35-AC65</f>
        <v>6</v>
      </c>
      <c r="AD78" s="5">
        <f t="shared" si="10"/>
        <v>0</v>
      </c>
      <c r="AE78" s="5">
        <f>AD78-AC78</f>
        <v>-6</v>
      </c>
      <c r="AG78" s="5">
        <f>MAX(AC78,AD78)</f>
        <v>6</v>
      </c>
      <c r="AH78" s="5">
        <f>MAX(AG78,0)+$AH$82</f>
        <v>12.2</v>
      </c>
      <c r="AI78" t="str">
        <f>"Difference:"&amp;CHAR(10)&amp;TEXT(AE78,"+#,##0;-#,##0;0")&amp;" units"</f>
        <v>Difference:
-6 units</v>
      </c>
    </row>
    <row r="79" spans="3:39" ht="18" customHeight="1">
      <c r="C79" s="329"/>
      <c r="D79" s="329"/>
      <c r="E79" s="329"/>
      <c r="F79" s="329"/>
      <c r="G79" s="329"/>
      <c r="H79" s="329"/>
      <c r="I79" s="329"/>
      <c r="J79" s="329"/>
      <c r="K79" s="329"/>
      <c r="L79" s="329"/>
      <c r="AB79" s="31" t="s">
        <v>393</v>
      </c>
      <c r="AC79" s="5">
        <f t="shared" si="10"/>
        <v>0</v>
      </c>
      <c r="AD79" s="5">
        <f t="shared" si="10"/>
        <v>6</v>
      </c>
      <c r="AE79" s="5">
        <f>AD79-AC79</f>
        <v>6</v>
      </c>
      <c r="AG79" s="5">
        <f>MAX(AC79,AD79)</f>
        <v>6</v>
      </c>
      <c r="AH79" s="5">
        <f>MAX(AG79,0)+$AH$82</f>
        <v>12.2</v>
      </c>
      <c r="AI79" t="str">
        <f>"Difference:"&amp;CHAR(10)&amp;TEXT(AE79,"+#,##0;-#,##0;0")&amp;" units"</f>
        <v>Difference:
+6 units</v>
      </c>
    </row>
    <row r="80" spans="3:39" ht="18">
      <c r="C80" s="192"/>
      <c r="D80" s="192"/>
      <c r="E80" s="192"/>
      <c r="F80" s="192"/>
      <c r="G80" s="192"/>
      <c r="H80" s="192"/>
      <c r="I80" s="192"/>
      <c r="J80" s="192"/>
      <c r="K80" s="192"/>
      <c r="L80" s="192"/>
      <c r="AB80" s="31" t="s">
        <v>394</v>
      </c>
      <c r="AC80" s="5">
        <f t="shared" si="10"/>
        <v>11</v>
      </c>
      <c r="AD80" s="5">
        <f t="shared" si="10"/>
        <v>25</v>
      </c>
      <c r="AE80" s="5">
        <f>AD80-AC80</f>
        <v>14</v>
      </c>
      <c r="AG80" s="5">
        <f>MAX(AC80,AD80)</f>
        <v>25</v>
      </c>
      <c r="AH80" s="5">
        <f>MAX(AG80,0)+$AH$82</f>
        <v>31.2</v>
      </c>
      <c r="AI80" t="str">
        <f>"Difference:"&amp;CHAR(10)&amp;TEXT(AE80,"+#,##0;-#,##0;0")&amp;" units"</f>
        <v>Difference:
+14 units</v>
      </c>
    </row>
    <row r="81" spans="28:35">
      <c r="AB81" s="31" t="s">
        <v>395</v>
      </c>
      <c r="AC81" s="5">
        <f>AC39-AC68</f>
        <v>31</v>
      </c>
      <c r="AD81" s="5">
        <f>AD39-AD68</f>
        <v>49</v>
      </c>
      <c r="AE81" s="5">
        <f>AD81-AC81</f>
        <v>18</v>
      </c>
      <c r="AG81" s="5">
        <f>MAX(AC81,AD81)</f>
        <v>49</v>
      </c>
      <c r="AH81" s="5">
        <f>MAX(AG81,0)+$AH$82</f>
        <v>55.2</v>
      </c>
      <c r="AI81" t="str">
        <f>"Difference:"&amp;CHAR(10)&amp;TEXT(AE81,"+#,##0;-#,##0;0")&amp;" units"</f>
        <v>Difference:
+18 units</v>
      </c>
    </row>
    <row r="82" spans="28:35" ht="13.9" customHeight="1">
      <c r="AG82" s="59" t="s">
        <v>396</v>
      </c>
      <c r="AH82" s="109">
        <f>0.2*MAX(AB78:AC81)</f>
        <v>6.2</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Wilkeson town,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Wilkeson count of households by income and race, 2019</v>
      </c>
      <c r="AA6" s="126" t="s">
        <v>128</v>
      </c>
      <c r="AB6" s="361" t="str">
        <f>County_label</f>
        <v>Pierce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20</v>
      </c>
      <c r="I14" s="230">
        <f>J14-SUM(C14:H14)</f>
        <v>0</v>
      </c>
      <c r="J14" s="182">
        <f>AI101</f>
        <v>20</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16</v>
      </c>
      <c r="I15" s="230">
        <f t="shared" ref="I15:I18" si="1">J15-SUM(C15:H15)</f>
        <v>0</v>
      </c>
      <c r="J15" s="182">
        <f>AI102</f>
        <v>16</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45</v>
      </c>
      <c r="I16" s="230">
        <f t="shared" si="1"/>
        <v>0</v>
      </c>
      <c r="J16" s="182">
        <f>AI103</f>
        <v>45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33</v>
      </c>
      <c r="I17" s="230">
        <f t="shared" si="1"/>
        <v>0</v>
      </c>
      <c r="J17" s="182">
        <f>AI104</f>
        <v>33</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85</v>
      </c>
      <c r="I18" s="231">
        <f t="shared" si="1"/>
        <v>5</v>
      </c>
      <c r="J18" s="207">
        <f>AI105</f>
        <v>90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0</v>
      </c>
      <c r="E19" s="228">
        <f t="shared" si="2"/>
        <v>0</v>
      </c>
      <c r="F19" s="228">
        <f t="shared" si="2"/>
        <v>0</v>
      </c>
      <c r="G19" s="228">
        <f t="shared" si="2"/>
        <v>0</v>
      </c>
      <c r="H19" s="228">
        <f t="shared" si="2"/>
        <v>199</v>
      </c>
      <c r="I19" s="232">
        <f t="shared" si="2"/>
        <v>5</v>
      </c>
      <c r="J19" s="228">
        <f>AI49+AI94</f>
        <v>192</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0.94444444444444442</v>
      </c>
      <c r="I26" s="181">
        <f t="shared" si="3"/>
        <v>5.5555555555555552E-2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Wilkeson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10</v>
      </c>
      <c r="AH33" s="174"/>
      <c r="AI33" s="174">
        <v>10</v>
      </c>
      <c r="AJ33" s="86">
        <f>(SUM(AB33:AH33))-AI33</f>
        <v>0</v>
      </c>
      <c r="AL33" s="31" t="s">
        <v>427</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4</v>
      </c>
      <c r="AH36" s="174"/>
      <c r="AI36" s="174">
        <v>4</v>
      </c>
      <c r="AJ36" s="86">
        <f>(SUM(AB36:AH36))-AI36</f>
        <v>0</v>
      </c>
      <c r="AL36" s="60" t="s">
        <v>458</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20</v>
      </c>
      <c r="AH39" s="174"/>
      <c r="AI39" s="174">
        <v>20</v>
      </c>
      <c r="AJ39" s="86">
        <f>(SUM(AB39:AH39))-AI39</f>
        <v>0</v>
      </c>
      <c r="AL39" s="60" t="s">
        <v>486</v>
      </c>
      <c r="AM39" s="174">
        <v>0</v>
      </c>
      <c r="AN39" s="174">
        <v>0</v>
      </c>
      <c r="AO39" s="174">
        <v>0</v>
      </c>
      <c r="AP39" s="174">
        <v>0</v>
      </c>
      <c r="AQ39" s="174">
        <v>0</v>
      </c>
      <c r="AR39" s="174">
        <v>10</v>
      </c>
      <c r="AS39" s="174">
        <v>0</v>
      </c>
      <c r="AT39" s="174">
        <v>10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4</v>
      </c>
      <c r="AH42" s="174"/>
      <c r="AI42" s="174">
        <v>4</v>
      </c>
      <c r="AJ42" s="86">
        <f>(SUM(AB42:AH42))-AI42</f>
        <v>0</v>
      </c>
      <c r="AL42" s="60" t="s">
        <v>511</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0</v>
      </c>
      <c r="AC43" s="174">
        <v>0</v>
      </c>
      <c r="AD43" s="174">
        <v>0</v>
      </c>
      <c r="AE43" s="174">
        <v>0</v>
      </c>
      <c r="AF43" s="174">
        <v>0</v>
      </c>
      <c r="AG43" s="174">
        <v>15</v>
      </c>
      <c r="AH43" s="174"/>
      <c r="AI43" s="174">
        <v>15</v>
      </c>
      <c r="AJ43" s="86">
        <f>(SUM(AB43:AH43))-AI43</f>
        <v>0</v>
      </c>
      <c r="AM43" s="174">
        <v>0</v>
      </c>
      <c r="AN43" s="174">
        <v>0</v>
      </c>
      <c r="AO43" s="174">
        <v>0</v>
      </c>
      <c r="AP43" s="174">
        <v>0</v>
      </c>
      <c r="AQ43" s="174">
        <v>4</v>
      </c>
      <c r="AR43" s="174">
        <v>15</v>
      </c>
      <c r="AS43" s="174">
        <v>0</v>
      </c>
      <c r="AT43" s="174">
        <v>15</v>
      </c>
      <c r="AU43" s="86">
        <f t="shared" si="4"/>
        <v>4</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10</v>
      </c>
      <c r="AH45" s="174"/>
      <c r="AI45" s="174">
        <v>10</v>
      </c>
      <c r="AJ45" s="86">
        <f>(SUM(AB45:AH45))-AI45</f>
        <v>0</v>
      </c>
      <c r="AL45" s="60" t="s">
        <v>537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0</v>
      </c>
      <c r="AC46" s="174">
        <v>0</v>
      </c>
      <c r="AD46" s="174">
        <v>0</v>
      </c>
      <c r="AE46" s="174">
        <v>0</v>
      </c>
      <c r="AF46" s="174">
        <v>0</v>
      </c>
      <c r="AG46" s="174">
        <v>60</v>
      </c>
      <c r="AH46" s="174"/>
      <c r="AI46" s="174">
        <v>65</v>
      </c>
      <c r="AJ46" s="86">
        <f>(SUM(AB46:AH46))-AI46</f>
        <v>-5</v>
      </c>
      <c r="AM46" s="174">
        <v>0</v>
      </c>
      <c r="AN46" s="174">
        <v>0</v>
      </c>
      <c r="AO46" s="174">
        <v>0</v>
      </c>
      <c r="AP46" s="174">
        <v>0</v>
      </c>
      <c r="AQ46" s="174">
        <v>0</v>
      </c>
      <c r="AR46" s="174">
        <v>55</v>
      </c>
      <c r="AS46" s="174">
        <v>0</v>
      </c>
      <c r="AT46" s="174">
        <v>55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0</v>
      </c>
      <c r="AC48" s="86">
        <f t="shared" ref="AC48:AH48" si="5">SUM(AC33:AC47)</f>
        <v>0</v>
      </c>
      <c r="AD48" s="86">
        <f t="shared" si="5"/>
        <v>0</v>
      </c>
      <c r="AE48" s="86">
        <f t="shared" si="5"/>
        <v>0</v>
      </c>
      <c r="AF48" s="86">
        <f t="shared" si="5"/>
        <v>0</v>
      </c>
      <c r="AG48" s="86">
        <f t="shared" si="5"/>
        <v>137</v>
      </c>
      <c r="AH48" s="86">
        <f t="shared" si="5"/>
        <v>0</v>
      </c>
      <c r="AI48" s="86">
        <f t="shared" ref="AI48" si="6">SUM(AI33:AI47)</f>
        <v>142</v>
      </c>
      <c r="AJ48" s="86"/>
      <c r="AZ48" s="19"/>
      <c r="BA48" s="19"/>
      <c r="BB48" s="19"/>
      <c r="BC48" s="19"/>
      <c r="BD48" s="19"/>
    </row>
    <row r="49" spans="2:56" ht="13.9" customHeight="1">
      <c r="AA49" s="171" t="s">
        <v>561</v>
      </c>
      <c r="AI49" s="227">
        <v>130</v>
      </c>
      <c r="AJ49" s="86">
        <f>SUM(AJ33:AJ46)</f>
        <v>-5</v>
      </c>
      <c r="AL49" s="171" t="s">
        <v>562</v>
      </c>
      <c r="AT49" s="174">
        <v>145</v>
      </c>
      <c r="AU49" s="86">
        <f>SUM(AU33:AU47)</f>
        <v>4</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10</v>
      </c>
      <c r="AH51" s="86">
        <f t="shared" si="7"/>
        <v>0</v>
      </c>
      <c r="AI51" s="86">
        <f t="shared" si="7"/>
        <v>10</v>
      </c>
      <c r="AL51" s="60" t="s">
        <v>564</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8</v>
      </c>
      <c r="AH52" s="86">
        <f t="shared" si="9"/>
        <v>0</v>
      </c>
      <c r="AI52" s="86">
        <f t="shared" si="9"/>
        <v>8</v>
      </c>
      <c r="AL52" s="60" t="s">
        <v>458</v>
      </c>
      <c r="AM52" s="86">
        <f t="shared" ref="AM52:AR52" si="10">SUM(AM36:AM38)</f>
        <v>0</v>
      </c>
      <c r="AN52" s="86">
        <f t="shared" si="10"/>
        <v>0</v>
      </c>
      <c r="AO52" s="86">
        <f t="shared" si="10"/>
        <v>0</v>
      </c>
      <c r="AP52" s="86">
        <f t="shared" si="10"/>
        <v>0</v>
      </c>
      <c r="AQ52" s="86">
        <f t="shared" si="10"/>
        <v>0</v>
      </c>
      <c r="AR52" s="86">
        <f t="shared" si="10"/>
        <v>19</v>
      </c>
      <c r="AS52" s="5">
        <f>SUM(AS36:AS38)</f>
        <v>0</v>
      </c>
      <c r="AT52" s="86">
        <f>SUM(AT36:AT38)</f>
        <v>19</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0</v>
      </c>
      <c r="AG53" s="86">
        <f t="shared" si="11"/>
        <v>30</v>
      </c>
      <c r="AH53" s="86">
        <f t="shared" si="11"/>
        <v>0</v>
      </c>
      <c r="AI53" s="86">
        <f t="shared" si="11"/>
        <v>30</v>
      </c>
      <c r="AL53" s="60" t="s">
        <v>486</v>
      </c>
      <c r="AM53" s="86">
        <f t="shared" ref="AM53:AR53" si="12">SUM(AM39:AM41)</f>
        <v>0</v>
      </c>
      <c r="AN53" s="86">
        <f t="shared" si="12"/>
        <v>0</v>
      </c>
      <c r="AO53" s="86">
        <f t="shared" si="12"/>
        <v>0</v>
      </c>
      <c r="AP53" s="86">
        <f t="shared" si="12"/>
        <v>0</v>
      </c>
      <c r="AQ53" s="86">
        <f t="shared" si="12"/>
        <v>0</v>
      </c>
      <c r="AR53" s="86">
        <f t="shared" si="12"/>
        <v>14</v>
      </c>
      <c r="AS53" s="5">
        <f>SUM(AS39:AS41)</f>
        <v>0</v>
      </c>
      <c r="AT53" s="86">
        <f>SUM(AT39:AT41)</f>
        <v>14</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19</v>
      </c>
      <c r="AH54" s="86">
        <f t="shared" si="13"/>
        <v>0</v>
      </c>
      <c r="AI54" s="86">
        <f t="shared" si="13"/>
        <v>19</v>
      </c>
      <c r="AL54" s="60" t="s">
        <v>511</v>
      </c>
      <c r="AM54" s="86">
        <f t="shared" ref="AM54:AR54" si="14">SUM(AM42:AM44)</f>
        <v>0</v>
      </c>
      <c r="AN54" s="86">
        <f t="shared" si="14"/>
        <v>0</v>
      </c>
      <c r="AO54" s="86">
        <f t="shared" si="14"/>
        <v>0</v>
      </c>
      <c r="AP54" s="86">
        <f t="shared" si="14"/>
        <v>0</v>
      </c>
      <c r="AQ54" s="86">
        <f t="shared" si="14"/>
        <v>4</v>
      </c>
      <c r="AR54" s="86">
        <f t="shared" si="14"/>
        <v>30</v>
      </c>
      <c r="AS54" s="5">
        <f>SUM(AS42:AS44)</f>
        <v>0</v>
      </c>
      <c r="AT54" s="86">
        <f>SUM(AT42:AT44)</f>
        <v>30</v>
      </c>
      <c r="AZ54" s="19"/>
      <c r="BA54" s="19"/>
      <c r="BB54" s="19"/>
      <c r="BC54" s="19"/>
      <c r="BD54" s="19"/>
    </row>
    <row r="55" spans="2:56" ht="16.5" customHeight="1">
      <c r="B55" s="343" t="str">
        <f>"Chart 13a. "&amp;City_label&amp;" number of households by income category and race, 2019"</f>
        <v>Chart 13a. Wilkeson number of households by income category and race, 2019</v>
      </c>
      <c r="C55" s="343"/>
      <c r="D55" s="343"/>
      <c r="E55" s="343"/>
      <c r="F55" s="343"/>
      <c r="G55" s="343"/>
      <c r="H55" s="343"/>
      <c r="I55" s="343"/>
      <c r="U55" s="19"/>
      <c r="W55" s="25"/>
      <c r="X55" s="19"/>
      <c r="AA55" s="60" t="s">
        <v>537</v>
      </c>
      <c r="AB55" s="86">
        <f>SUM(AB45:AB47)</f>
        <v>0</v>
      </c>
      <c r="AC55" s="86">
        <f t="shared" ref="AC55:AI55" si="15">SUM(AC45:AC47)</f>
        <v>0</v>
      </c>
      <c r="AD55" s="86">
        <f t="shared" si="15"/>
        <v>0</v>
      </c>
      <c r="AE55" s="86">
        <f t="shared" si="15"/>
        <v>0</v>
      </c>
      <c r="AF55" s="86">
        <f t="shared" si="15"/>
        <v>0</v>
      </c>
      <c r="AG55" s="86">
        <f t="shared" si="15"/>
        <v>70</v>
      </c>
      <c r="AH55" s="86">
        <f t="shared" si="15"/>
        <v>0</v>
      </c>
      <c r="AI55" s="86">
        <f t="shared" si="15"/>
        <v>75</v>
      </c>
      <c r="AL55" s="60" t="s">
        <v>537</v>
      </c>
      <c r="AM55" s="86">
        <f t="shared" ref="AM55:AR55" si="16">SUM(AM45:AM47)</f>
        <v>0</v>
      </c>
      <c r="AN55" s="86">
        <f t="shared" si="16"/>
        <v>0</v>
      </c>
      <c r="AO55" s="86">
        <f t="shared" si="16"/>
        <v>0</v>
      </c>
      <c r="AP55" s="86">
        <f t="shared" si="16"/>
        <v>0</v>
      </c>
      <c r="AQ55" s="86">
        <f t="shared" si="16"/>
        <v>0</v>
      </c>
      <c r="AR55" s="86">
        <f t="shared" si="16"/>
        <v>70</v>
      </c>
      <c r="AS55" s="5">
        <f>SUM(AS45:AS47)</f>
        <v>0</v>
      </c>
      <c r="AT55" s="86">
        <f>SUM(AT45:AT47)</f>
        <v>70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0</v>
      </c>
      <c r="AC56" s="128">
        <f t="shared" ref="AC56:AI56" si="17">SUM(AC51:AC55)</f>
        <v>0</v>
      </c>
      <c r="AD56" s="128">
        <f t="shared" si="17"/>
        <v>0</v>
      </c>
      <c r="AE56" s="128">
        <f t="shared" si="17"/>
        <v>0</v>
      </c>
      <c r="AF56" s="128">
        <f t="shared" si="17"/>
        <v>0</v>
      </c>
      <c r="AG56" s="128">
        <f t="shared" si="17"/>
        <v>137</v>
      </c>
      <c r="AH56" s="128">
        <f t="shared" si="17"/>
        <v>0</v>
      </c>
      <c r="AI56" s="128">
        <f t="shared" si="17"/>
        <v>142</v>
      </c>
      <c r="AJ56" s="86"/>
      <c r="AL56" s="163" t="s">
        <v>566</v>
      </c>
      <c r="AM56" s="128">
        <f t="shared" ref="AM56:AT56" si="18">SUM(AM51:AM55)</f>
        <v>0</v>
      </c>
      <c r="AN56" s="128">
        <f t="shared" si="18"/>
        <v>0</v>
      </c>
      <c r="AO56" s="128">
        <f t="shared" si="18"/>
        <v>0</v>
      </c>
      <c r="AP56" s="128">
        <f t="shared" si="18"/>
        <v>0</v>
      </c>
      <c r="AQ56" s="128">
        <f t="shared" si="18"/>
        <v>4</v>
      </c>
      <c r="AR56" s="128">
        <f t="shared" si="18"/>
        <v>141</v>
      </c>
      <c r="AS56" s="246">
        <f>SUM(AS51:AS55)</f>
        <v>0</v>
      </c>
      <c r="AT56" s="128">
        <f t="shared" si="18"/>
        <v>141</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10</v>
      </c>
      <c r="AH76" s="174"/>
      <c r="AI76" s="174">
        <v>10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Wilkeson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4</v>
      </c>
      <c r="AH78" s="174"/>
      <c r="AI78" s="174">
        <v>4</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15</v>
      </c>
      <c r="AH80" s="174"/>
      <c r="AI80" s="174">
        <v>15</v>
      </c>
      <c r="AJ80" s="86">
        <f t="shared" si="19"/>
        <v>0</v>
      </c>
      <c r="AL80" s="60" t="s">
        <v>427</v>
      </c>
      <c r="AM80" s="174">
        <v>4</v>
      </c>
      <c r="AN80" s="174">
        <v>0</v>
      </c>
      <c r="AO80" s="174">
        <v>0</v>
      </c>
      <c r="AP80" s="174">
        <v>0</v>
      </c>
      <c r="AQ80" s="174">
        <v>0</v>
      </c>
      <c r="AR80" s="174">
        <v>0</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458</v>
      </c>
      <c r="AM83" s="174">
        <v>4</v>
      </c>
      <c r="AN83" s="174">
        <v>0</v>
      </c>
      <c r="AO83" s="174">
        <v>0</v>
      </c>
      <c r="AP83" s="174">
        <v>0</v>
      </c>
      <c r="AQ83" s="174">
        <v>0</v>
      </c>
      <c r="AR83" s="174">
        <v>4</v>
      </c>
      <c r="AS83" s="174">
        <v>0</v>
      </c>
      <c r="AT83" s="174">
        <v>4</v>
      </c>
      <c r="AU83" s="86">
        <f t="shared" si="20"/>
        <v>4</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55</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10</v>
      </c>
      <c r="AH89" s="86"/>
      <c r="AI89" s="86">
        <f>SUM(AI76:AI77)</f>
        <v>10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8</v>
      </c>
      <c r="AH90" s="86"/>
      <c r="AI90" s="86">
        <f>SUM(AI78:AI79)</f>
        <v>8</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15</v>
      </c>
      <c r="AH91" s="86"/>
      <c r="AI91" s="86">
        <f>SUM(AI80:AI81)</f>
        <v>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14</v>
      </c>
      <c r="AH92" s="86"/>
      <c r="AI92" s="86">
        <f>SUM(AI82:AI83)</f>
        <v>14</v>
      </c>
      <c r="AL92" s="60" t="s">
        <v>537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0</v>
      </c>
      <c r="AN93" s="174">
        <v>0</v>
      </c>
      <c r="AO93" s="174">
        <v>0</v>
      </c>
      <c r="AP93" s="174">
        <v>0</v>
      </c>
      <c r="AQ93" s="174">
        <v>0</v>
      </c>
      <c r="AR93" s="174">
        <v>20</v>
      </c>
      <c r="AS93" s="174">
        <v>0</v>
      </c>
      <c r="AT93" s="174">
        <v>20</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62</v>
      </c>
      <c r="AH94" s="128"/>
      <c r="AI94" s="128">
        <f>SUM(AI89:AI93)</f>
        <v>62</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35</v>
      </c>
      <c r="AU96" s="86">
        <f>SUM(AU80:AU94)</f>
        <v>4</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4</v>
      </c>
      <c r="AN98" s="86">
        <f t="shared" si="27"/>
        <v>0</v>
      </c>
      <c r="AO98" s="86">
        <f t="shared" si="27"/>
        <v>0</v>
      </c>
      <c r="AP98" s="86">
        <f t="shared" si="27"/>
        <v>0</v>
      </c>
      <c r="AQ98" s="86">
        <f t="shared" si="27"/>
        <v>0</v>
      </c>
      <c r="AR98" s="86">
        <f t="shared" si="27"/>
        <v>0</v>
      </c>
      <c r="AS98" s="86">
        <f>AT98-SUM(AM98:AR98)</f>
        <v>0</v>
      </c>
      <c r="AT98" s="86">
        <f>SUM(AT80:AT82)</f>
        <v>4</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4</v>
      </c>
      <c r="AN99" s="86">
        <f t="shared" si="28"/>
        <v>0</v>
      </c>
      <c r="AO99" s="86">
        <f t="shared" si="28"/>
        <v>0</v>
      </c>
      <c r="AP99" s="86">
        <f t="shared" si="28"/>
        <v>0</v>
      </c>
      <c r="AQ99" s="86">
        <f t="shared" si="28"/>
        <v>0</v>
      </c>
      <c r="AR99" s="86">
        <f t="shared" si="28"/>
        <v>4</v>
      </c>
      <c r="AS99" s="86">
        <f t="shared" ref="AS99:AS102" si="29">AT99-SUM(AM99:AR99)</f>
        <v>-4</v>
      </c>
      <c r="AT99" s="86">
        <f>SUM(AT83:AT85)</f>
        <v>4</v>
      </c>
      <c r="AZ99" s="19"/>
      <c r="BA99" s="19"/>
      <c r="BB99" s="19"/>
      <c r="BC99" s="19"/>
      <c r="BD99" s="19"/>
    </row>
    <row r="100" spans="2:56" ht="18" customHeight="1">
      <c r="B100" s="343" t="str">
        <f>"Chart 14a. "&amp;City_label&amp;" distribution of households by income and race or ethnicity, 2019"</f>
        <v>Chart 14a. Wilkeson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8</v>
      </c>
      <c r="AS100" s="86">
        <f t="shared" si="29"/>
        <v>0</v>
      </c>
      <c r="AT100" s="86">
        <f>SUM(AT86:AT88)</f>
        <v>8</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0</v>
      </c>
      <c r="AD101" s="147">
        <f>SUM(AC51,AC89)</f>
        <v>0</v>
      </c>
      <c r="AE101" s="147">
        <f>SUM(AB51,AB89)</f>
        <v>0</v>
      </c>
      <c r="AF101" s="147">
        <f>SUM(AE51,AE89)</f>
        <v>0</v>
      </c>
      <c r="AG101" s="147">
        <f>SUM(AG51,AG89)</f>
        <v>20</v>
      </c>
      <c r="AH101" s="244">
        <f t="shared" ref="AH101:AH105" si="31">AI101-SUM(AB101:AG101)</f>
        <v>0</v>
      </c>
      <c r="AI101" s="147">
        <f t="shared" ref="AI101:AI106" si="32">SUM(AI51,AI89)</f>
        <v>20</v>
      </c>
      <c r="AJ101" s="86"/>
      <c r="AL101" s="60" t="s">
        <v>511</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16</v>
      </c>
      <c r="AH102" s="244">
        <f t="shared" si="31"/>
        <v>0</v>
      </c>
      <c r="AI102" s="147">
        <f t="shared" si="32"/>
        <v>16</v>
      </c>
      <c r="AJ102" s="86"/>
      <c r="AL102" s="60" t="s">
        <v>537</v>
      </c>
      <c r="AM102" s="86">
        <f t="shared" ref="AM102:AR102" si="40">SUM(AM92:AM94)</f>
        <v>0</v>
      </c>
      <c r="AN102" s="86">
        <f t="shared" si="40"/>
        <v>0</v>
      </c>
      <c r="AO102" s="86">
        <f t="shared" si="40"/>
        <v>0</v>
      </c>
      <c r="AP102" s="86">
        <f t="shared" si="40"/>
        <v>0</v>
      </c>
      <c r="AQ102" s="86">
        <f t="shared" si="40"/>
        <v>0</v>
      </c>
      <c r="AR102" s="86">
        <f t="shared" si="40"/>
        <v>24</v>
      </c>
      <c r="AS102" s="86">
        <f t="shared" si="29"/>
        <v>0</v>
      </c>
      <c r="AT102" s="86">
        <f>SUM(AT92:AT94)</f>
        <v>24</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45</v>
      </c>
      <c r="AH103" s="244">
        <f t="shared" si="31"/>
        <v>0</v>
      </c>
      <c r="AI103" s="147">
        <f t="shared" si="32"/>
        <v>45</v>
      </c>
      <c r="AJ103" s="86"/>
      <c r="AL103" s="163" t="s">
        <v>566</v>
      </c>
      <c r="AM103" s="128">
        <f t="shared" ref="AM103:AT103" si="41">SUM(AM98:AM102)</f>
        <v>8</v>
      </c>
      <c r="AN103" s="128">
        <f t="shared" si="41"/>
        <v>0</v>
      </c>
      <c r="AO103" s="128">
        <f t="shared" si="41"/>
        <v>0</v>
      </c>
      <c r="AP103" s="128">
        <f t="shared" si="41"/>
        <v>0</v>
      </c>
      <c r="AQ103" s="128">
        <f t="shared" si="41"/>
        <v>0</v>
      </c>
      <c r="AR103" s="128">
        <f t="shared" si="41"/>
        <v>40</v>
      </c>
      <c r="AS103" s="128">
        <f t="shared" si="41"/>
        <v>-4</v>
      </c>
      <c r="AT103" s="128">
        <f t="shared" si="41"/>
        <v>44</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33</v>
      </c>
      <c r="AH104" s="244">
        <f t="shared" si="31"/>
        <v>0</v>
      </c>
      <c r="AI104" s="147">
        <f t="shared" si="32"/>
        <v>33</v>
      </c>
      <c r="AJ104" s="86"/>
      <c r="AL104" s="169"/>
      <c r="AZ104" s="19"/>
      <c r="BA104" s="19"/>
      <c r="BB104" s="19"/>
      <c r="BC104" s="19"/>
    </row>
    <row r="105" spans="2:56" ht="18" customHeight="1">
      <c r="Z105" s="90"/>
      <c r="AA105" s="60" t="s">
        <v>537</v>
      </c>
      <c r="AB105" s="147">
        <f t="shared" si="34"/>
        <v>0</v>
      </c>
      <c r="AC105" s="147">
        <f t="shared" si="35"/>
        <v>0</v>
      </c>
      <c r="AD105" s="147">
        <f t="shared" si="36"/>
        <v>0</v>
      </c>
      <c r="AE105" s="147">
        <f t="shared" si="37"/>
        <v>0</v>
      </c>
      <c r="AF105" s="147">
        <f t="shared" si="38"/>
        <v>0</v>
      </c>
      <c r="AG105" s="147">
        <f t="shared" si="39"/>
        <v>85</v>
      </c>
      <c r="AH105" s="244">
        <f t="shared" si="31"/>
        <v>5</v>
      </c>
      <c r="AI105" s="147">
        <f t="shared" si="32"/>
        <v>90</v>
      </c>
      <c r="AJ105" s="86"/>
      <c r="AZ105" s="19"/>
      <c r="BA105" s="19"/>
      <c r="BB105" s="19"/>
      <c r="BC105" s="19"/>
    </row>
    <row r="106" spans="2:56" ht="18" customHeight="1">
      <c r="Z106" s="90"/>
      <c r="AA106" s="127" t="s">
        <v>280</v>
      </c>
      <c r="AB106" s="177">
        <f>SUM(AF56,AF94)</f>
        <v>0</v>
      </c>
      <c r="AC106" s="177">
        <f>SUM(AD56,AD94)</f>
        <v>0</v>
      </c>
      <c r="AD106" s="177">
        <f>SUM(AC56,AC94)</f>
        <v>0</v>
      </c>
      <c r="AE106" s="177">
        <f>SUM(AB56,AB94)</f>
        <v>0</v>
      </c>
      <c r="AF106" s="177">
        <f>SUM(AE56,AE94)</f>
        <v>0</v>
      </c>
      <c r="AG106" s="177">
        <f>SUM(AG56,AG94)</f>
        <v>199</v>
      </c>
      <c r="AH106" s="114">
        <f>SUM(AH101:AH105)</f>
        <v>5</v>
      </c>
      <c r="AI106" s="177">
        <f t="shared" si="32"/>
        <v>204</v>
      </c>
      <c r="AJ106" s="86"/>
      <c r="AL106" s="7"/>
      <c r="AM106" s="7"/>
      <c r="AN106" s="7"/>
      <c r="AO106" s="7"/>
      <c r="AP106" s="7"/>
      <c r="AQ106" s="7"/>
      <c r="AR106" s="7"/>
      <c r="AS106" s="7"/>
      <c r="AT106" s="7"/>
      <c r="AU106" s="7"/>
      <c r="AV106" s="7"/>
    </row>
    <row r="107" spans="2:56" ht="18" customHeight="1">
      <c r="Z107" s="90"/>
      <c r="AA107" s="175" t="s">
        <v>692</v>
      </c>
      <c r="AI107" s="174">
        <v>185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8</v>
      </c>
      <c r="AS109" s="245">
        <f t="shared" si="45"/>
        <v>0</v>
      </c>
      <c r="AT109" s="147">
        <f t="shared" si="45"/>
        <v>12</v>
      </c>
    </row>
    <row r="110" spans="2:56" ht="18" customHeight="1">
      <c r="AA110" s="60" t="s">
        <v>427</v>
      </c>
      <c r="AB110" s="135">
        <f>IFERROR(AC101/AC$106,"0"%)</f>
        <v>0</v>
      </c>
      <c r="AC110" s="135">
        <f>IFERROR(AD101/AD$106,"0"%)</f>
        <v>0</v>
      </c>
      <c r="AD110" s="135">
        <f>IFERROR(AE101/AE$106, "0"%)</f>
        <v>0</v>
      </c>
      <c r="AE110" s="135">
        <f>IFERROR(AF101/AF$106, "0"%)</f>
        <v>0</v>
      </c>
      <c r="AF110" s="135">
        <f>IFERROR(AG101/AG$106, "0"%)</f>
        <v>0.10050251256281408</v>
      </c>
      <c r="AG110" s="135">
        <f>IFERROR(AI101/AI$106,"0"%)</f>
        <v>9.8039215686274508E-2</v>
      </c>
      <c r="AH110" s="135"/>
      <c r="AL110" s="60" t="s">
        <v>458</v>
      </c>
      <c r="AM110" s="147">
        <f t="shared" si="42"/>
        <v>0</v>
      </c>
      <c r="AN110" s="147">
        <f t="shared" si="43"/>
        <v>0</v>
      </c>
      <c r="AO110" s="147">
        <f t="shared" si="44"/>
        <v>4</v>
      </c>
      <c r="AP110" s="147">
        <f t="shared" si="45"/>
        <v>0</v>
      </c>
      <c r="AQ110" s="147">
        <f t="shared" si="45"/>
        <v>0</v>
      </c>
      <c r="AR110" s="147">
        <f t="shared" si="45"/>
        <v>23</v>
      </c>
      <c r="AS110" s="245">
        <f t="shared" si="45"/>
        <v>-4</v>
      </c>
      <c r="AT110" s="147">
        <f t="shared" si="45"/>
        <v>23</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8.0402010050251257E-2</v>
      </c>
      <c r="AG111" s="135">
        <f t="shared" ref="AG111:AG114" si="48">IFERROR(AI102/AI$106,"0"%)</f>
        <v>7.8431372549019607E-2</v>
      </c>
      <c r="AH111" s="135"/>
      <c r="AL111" s="60" t="s">
        <v>486</v>
      </c>
      <c r="AM111" s="147">
        <f t="shared" si="42"/>
        <v>0</v>
      </c>
      <c r="AN111" s="147">
        <f t="shared" si="43"/>
        <v>0</v>
      </c>
      <c r="AO111" s="147">
        <f t="shared" si="44"/>
        <v>0</v>
      </c>
      <c r="AP111" s="147">
        <f t="shared" si="45"/>
        <v>0</v>
      </c>
      <c r="AQ111" s="147">
        <f t="shared" si="45"/>
        <v>0</v>
      </c>
      <c r="AR111" s="147">
        <f t="shared" si="45"/>
        <v>22</v>
      </c>
      <c r="AS111" s="245">
        <f t="shared" si="45"/>
        <v>0</v>
      </c>
      <c r="AT111" s="147">
        <f t="shared" si="45"/>
        <v>22</v>
      </c>
    </row>
    <row r="112" spans="2:56" ht="18" customHeight="1">
      <c r="AA112" s="60" t="s">
        <v>486</v>
      </c>
      <c r="AB112" s="135">
        <f t="shared" si="46"/>
        <v>0</v>
      </c>
      <c r="AC112" s="135">
        <f t="shared" si="46"/>
        <v>0</v>
      </c>
      <c r="AD112" s="135">
        <f t="shared" si="47"/>
        <v>0</v>
      </c>
      <c r="AE112" s="135">
        <f t="shared" si="47"/>
        <v>0</v>
      </c>
      <c r="AF112" s="135">
        <f t="shared" si="47"/>
        <v>0.22613065326633167</v>
      </c>
      <c r="AG112" s="135">
        <f t="shared" si="48"/>
        <v>0.22058823529411764</v>
      </c>
      <c r="AH112" s="135"/>
      <c r="AL112" s="60" t="s">
        <v>511</v>
      </c>
      <c r="AM112" s="147">
        <f t="shared" si="42"/>
        <v>0</v>
      </c>
      <c r="AN112" s="147">
        <f t="shared" si="43"/>
        <v>0</v>
      </c>
      <c r="AO112" s="147">
        <f t="shared" si="44"/>
        <v>0</v>
      </c>
      <c r="AP112" s="147">
        <f t="shared" si="45"/>
        <v>0</v>
      </c>
      <c r="AQ112" s="147">
        <f t="shared" si="45"/>
        <v>4</v>
      </c>
      <c r="AR112" s="147">
        <f t="shared" si="45"/>
        <v>34</v>
      </c>
      <c r="AS112" s="245">
        <f t="shared" si="45"/>
        <v>0</v>
      </c>
      <c r="AT112" s="147">
        <f t="shared" si="45"/>
        <v>34</v>
      </c>
    </row>
    <row r="113" spans="2:48" ht="18" customHeight="1">
      <c r="AA113" s="60" t="s">
        <v>511</v>
      </c>
      <c r="AB113" s="135">
        <f t="shared" si="46"/>
        <v>0</v>
      </c>
      <c r="AC113" s="135">
        <f t="shared" si="46"/>
        <v>0</v>
      </c>
      <c r="AD113" s="135">
        <f t="shared" si="47"/>
        <v>0</v>
      </c>
      <c r="AE113" s="135">
        <f t="shared" si="47"/>
        <v>0</v>
      </c>
      <c r="AF113" s="135">
        <f t="shared" si="47"/>
        <v>0.16582914572864321</v>
      </c>
      <c r="AG113" s="135">
        <f t="shared" si="48"/>
        <v>0.16176470588235295</v>
      </c>
      <c r="AH113" s="135"/>
      <c r="AL113" s="60" t="s">
        <v>537</v>
      </c>
      <c r="AM113" s="147">
        <f t="shared" si="42"/>
        <v>0</v>
      </c>
      <c r="AN113" s="147">
        <f t="shared" si="43"/>
        <v>0</v>
      </c>
      <c r="AO113" s="147">
        <f t="shared" si="44"/>
        <v>0</v>
      </c>
      <c r="AP113" s="147">
        <f t="shared" si="45"/>
        <v>0</v>
      </c>
      <c r="AQ113" s="147">
        <f t="shared" si="45"/>
        <v>0</v>
      </c>
      <c r="AR113" s="147">
        <f t="shared" si="45"/>
        <v>94</v>
      </c>
      <c r="AS113" s="245">
        <f t="shared" si="45"/>
        <v>0</v>
      </c>
      <c r="AT113" s="147">
        <f t="shared" si="45"/>
        <v>94</v>
      </c>
    </row>
    <row r="114" spans="2:48" ht="18" customHeight="1">
      <c r="AA114" s="60" t="s">
        <v>537</v>
      </c>
      <c r="AB114" s="135">
        <f t="shared" si="46"/>
        <v>0</v>
      </c>
      <c r="AC114" s="135">
        <f t="shared" si="46"/>
        <v>0</v>
      </c>
      <c r="AD114" s="135">
        <f t="shared" si="47"/>
        <v>0</v>
      </c>
      <c r="AE114" s="135">
        <f t="shared" si="47"/>
        <v>0</v>
      </c>
      <c r="AF114" s="135">
        <f t="shared" si="47"/>
        <v>0.42713567839195982</v>
      </c>
      <c r="AG114" s="135">
        <f t="shared" si="48"/>
        <v>0.44117647058823528</v>
      </c>
      <c r="AH114" s="135"/>
      <c r="AL114" s="127" t="s">
        <v>280</v>
      </c>
      <c r="AM114" s="177">
        <f t="shared" si="42"/>
        <v>0</v>
      </c>
      <c r="AN114" s="177">
        <f t="shared" si="43"/>
        <v>0</v>
      </c>
      <c r="AO114" s="177">
        <f t="shared" si="44"/>
        <v>8</v>
      </c>
      <c r="AP114" s="177">
        <f t="shared" si="45"/>
        <v>0</v>
      </c>
      <c r="AQ114" s="177">
        <f t="shared" si="45"/>
        <v>4</v>
      </c>
      <c r="AR114" s="177">
        <f t="shared" si="45"/>
        <v>181</v>
      </c>
      <c r="AS114" s="245">
        <f t="shared" si="45"/>
        <v>-4</v>
      </c>
      <c r="AT114" s="177">
        <f t="shared" si="45"/>
        <v>185</v>
      </c>
    </row>
    <row r="115" spans="2:48" ht="13.9" customHeight="1">
      <c r="B115" s="337" t="s">
        <v>565</v>
      </c>
      <c r="C115" s="337"/>
      <c r="D115" s="337"/>
      <c r="E115" s="337"/>
      <c r="F115" s="337"/>
      <c r="G115" s="337"/>
      <c r="H115" s="337"/>
      <c r="I115" s="337"/>
      <c r="AI115" s="88"/>
      <c r="AL115" s="169" t="s">
        <v>693</v>
      </c>
      <c r="AS115" s="7"/>
      <c r="AT115" s="1">
        <v>185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t="e">
        <f t="shared" ref="AM118:AO122" si="49">AM109/AM$114</f>
        <v>#DIV/0!</v>
      </c>
      <c r="AN118" s="135" t="e">
        <f t="shared" si="49"/>
        <v>#DIV/0!</v>
      </c>
      <c r="AO118" s="135">
        <f t="shared" si="49"/>
        <v>0.5</v>
      </c>
      <c r="AP118" s="135">
        <f>SUM(AP109:AQ109:AS109)/SUM(AP$114:AQ$114:AS$114)</f>
        <v>4.4198895027624308E-2</v>
      </c>
      <c r="AQ118" s="135">
        <f>AR109/AR$114</f>
        <v>4.4198895027624308E-2</v>
      </c>
      <c r="AR118" s="135">
        <f>AT109/AT$114</f>
        <v>6.4864864864864868E-2</v>
      </c>
    </row>
    <row r="119" spans="2:48" ht="21" customHeight="1">
      <c r="B119" s="360" t="str">
        <f>"Table 7. "&amp;City_label&amp;" five year change in households by income and race, 2014 - 2019"</f>
        <v>Table 7. Wilkeson five year change in households by income and race, 2014 - 2019</v>
      </c>
      <c r="C119" s="360"/>
      <c r="D119" s="360"/>
      <c r="E119" s="360"/>
      <c r="F119" s="360"/>
      <c r="G119" s="360"/>
      <c r="H119" s="360"/>
      <c r="AI119" s="88"/>
      <c r="AL119" s="60" t="s">
        <v>458</v>
      </c>
      <c r="AM119" s="135" t="e">
        <f t="shared" si="49"/>
        <v>#DIV/0!</v>
      </c>
      <c r="AN119" s="135" t="e">
        <f t="shared" si="49"/>
        <v>#DIV/0!</v>
      </c>
      <c r="AO119" s="135">
        <f t="shared" si="49"/>
        <v>0.5</v>
      </c>
      <c r="AP119" s="135">
        <f>SUM(AP110:AQ110:AS110)/SUM(AP$114:AQ$114:AS$114)</f>
        <v>0.10497237569060773</v>
      </c>
      <c r="AQ119" s="135">
        <f>AR110/AR$114</f>
        <v>0.1270718232044199</v>
      </c>
      <c r="AR119" s="135">
        <f>AT110/AT$114</f>
        <v>0.12432432432432433</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t="e">
        <f t="shared" si="49"/>
        <v>#DIV/0!</v>
      </c>
      <c r="AN120" s="135" t="e">
        <f t="shared" si="49"/>
        <v>#DIV/0!</v>
      </c>
      <c r="AO120" s="135">
        <f t="shared" si="49"/>
        <v>0</v>
      </c>
      <c r="AP120" s="135">
        <f>SUM(AP111:AQ111:AS111)/SUM(AP$114:AQ$114:AS$114)</f>
        <v>0.12154696132596685</v>
      </c>
      <c r="AQ120" s="135">
        <f>AR111/AR$114</f>
        <v>0.12154696132596685</v>
      </c>
      <c r="AR120" s="135">
        <f>AT111/AT$114</f>
        <v>0.11891891891891893</v>
      </c>
    </row>
    <row r="121" spans="2:48" ht="13.9" customHeight="1" thickBot="1">
      <c r="AA121" s="60" t="s">
        <v>564</v>
      </c>
      <c r="AB121" s="86">
        <f>AE101</f>
        <v>0</v>
      </c>
      <c r="AC121" s="86">
        <f>SUM(AB101:AD101,AF101,AH101)</f>
        <v>0</v>
      </c>
      <c r="AD121" s="86">
        <f>AG101</f>
        <v>20</v>
      </c>
      <c r="AF121" s="135" t="e">
        <f>AB121/$AB$126</f>
        <v>#DIV/0!</v>
      </c>
      <c r="AG121" s="135">
        <f>AC121/$AC$126</f>
        <v>0</v>
      </c>
      <c r="AH121" s="135">
        <f>AD121/$AD$126</f>
        <v>0.10050251256281408</v>
      </c>
      <c r="AL121" s="60" t="s">
        <v>511</v>
      </c>
      <c r="AM121" s="135" t="e">
        <f t="shared" si="49"/>
        <v>#DIV/0!</v>
      </c>
      <c r="AN121" s="135" t="e">
        <f t="shared" si="49"/>
        <v>#DIV/0!</v>
      </c>
      <c r="AO121" s="135">
        <f t="shared" si="49"/>
        <v>0</v>
      </c>
      <c r="AP121" s="135">
        <f>SUM(AP112:AQ112:AS112)/SUM(AP$114:AQ$114:AS$114)</f>
        <v>0.20994475138121546</v>
      </c>
      <c r="AQ121" s="135">
        <f>AR112/AR$114</f>
        <v>0.18784530386740331</v>
      </c>
      <c r="AR121" s="135">
        <f>AT112/AT$114</f>
        <v>0.18378378378378379</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0</v>
      </c>
      <c r="AD122" s="86">
        <f>AG102</f>
        <v>16</v>
      </c>
      <c r="AF122" s="135" t="e">
        <f>AB122/$AB$126</f>
        <v>#DIV/0!</v>
      </c>
      <c r="AG122" s="135">
        <f>AC122/$AC$126</f>
        <v>0</v>
      </c>
      <c r="AH122" s="135">
        <f>AD122/$AD$126</f>
        <v>8.0402010050251257E-2</v>
      </c>
      <c r="AL122" s="60" t="s">
        <v>537</v>
      </c>
      <c r="AM122" s="284" t="e">
        <f t="shared" si="49"/>
        <v>#DIV/0!</v>
      </c>
      <c r="AN122" s="284" t="e">
        <f t="shared" si="49"/>
        <v>#DIV/0!</v>
      </c>
      <c r="AO122" s="284">
        <f t="shared" si="49"/>
        <v>0</v>
      </c>
      <c r="AP122" s="284">
        <f>SUM(AP113:AQ113:AS113)/SUM(AP$114:AQ$114:AS$114)</f>
        <v>0.51933701657458564</v>
      </c>
      <c r="AQ122" s="284">
        <f>AR113/AR$114</f>
        <v>0.51933701657458564</v>
      </c>
      <c r="AR122" s="284">
        <f>AT113/AT$114</f>
        <v>0.50810810810810814</v>
      </c>
      <c r="AV122" s="7"/>
    </row>
    <row r="123" spans="2:48" ht="19.5" customHeight="1">
      <c r="B123" s="358"/>
      <c r="C123" s="351"/>
      <c r="D123" s="351"/>
      <c r="E123" s="351"/>
      <c r="F123" s="351"/>
      <c r="G123" s="351"/>
      <c r="H123" s="351"/>
      <c r="AA123" s="60" t="s">
        <v>486</v>
      </c>
      <c r="AB123" s="86">
        <f>AE103</f>
        <v>0</v>
      </c>
      <c r="AC123" s="86">
        <f t="shared" si="50"/>
        <v>0</v>
      </c>
      <c r="AD123" s="86">
        <f>AG103</f>
        <v>45</v>
      </c>
      <c r="AF123" s="135" t="e">
        <f>AB123/$AB$126</f>
        <v>#DIV/0!</v>
      </c>
      <c r="AG123" s="135">
        <f>AC123/$AC$126</f>
        <v>0</v>
      </c>
      <c r="AH123" s="135">
        <f>AD123/$AD$126</f>
        <v>0.22613065326633167</v>
      </c>
      <c r="AL123" s="127" t="s">
        <v>150</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0</v>
      </c>
      <c r="AD124" s="86">
        <f>AG104</f>
        <v>33</v>
      </c>
      <c r="AF124" s="135" t="e">
        <f>AB124/$AB$126</f>
        <v>#DIV/0!</v>
      </c>
      <c r="AG124" s="135">
        <f>AC124/$AC$126</f>
        <v>0</v>
      </c>
      <c r="AH124" s="135">
        <f>AD124/$AD$126</f>
        <v>0.16582914572864321</v>
      </c>
      <c r="AS124" s="88"/>
      <c r="AV124" s="7"/>
    </row>
    <row r="125" spans="2:48" ht="21" customHeight="1">
      <c r="B125" s="233" t="s">
        <v>280</v>
      </c>
      <c r="C125" s="234"/>
      <c r="D125" s="235"/>
      <c r="E125" s="235"/>
      <c r="F125" s="235"/>
      <c r="G125" s="235"/>
      <c r="H125" s="235"/>
      <c r="AA125" s="60" t="s">
        <v>537</v>
      </c>
      <c r="AB125" s="287">
        <f>AE105</f>
        <v>0</v>
      </c>
      <c r="AC125" s="287">
        <f t="shared" si="50"/>
        <v>5</v>
      </c>
      <c r="AD125" s="287">
        <f>AG105</f>
        <v>85</v>
      </c>
      <c r="AE125" s="288"/>
      <c r="AF125" s="284" t="e">
        <f>AB125/$AB$126</f>
        <v>#DIV/0!</v>
      </c>
      <c r="AG125" s="284">
        <f>AC125/$AC$126</f>
        <v>1</v>
      </c>
      <c r="AH125" s="284">
        <f>AD125/$AD$126</f>
        <v>0.42713567839195982</v>
      </c>
      <c r="AS125" s="88"/>
      <c r="AV125" s="7"/>
    </row>
    <row r="126" spans="2:48" ht="21" customHeight="1">
      <c r="B126" s="43">
        <v>2015</v>
      </c>
      <c r="C126" s="236">
        <f>AT109</f>
        <v>12</v>
      </c>
      <c r="D126" s="237">
        <f>AT110</f>
        <v>23</v>
      </c>
      <c r="E126" s="237">
        <f>AT111</f>
        <v>22</v>
      </c>
      <c r="F126" s="237">
        <f>AT112</f>
        <v>34</v>
      </c>
      <c r="G126" s="237">
        <f>AT113</f>
        <v>94</v>
      </c>
      <c r="H126" s="237">
        <f>AT114</f>
        <v>185</v>
      </c>
      <c r="AA126" s="85" t="s">
        <v>150</v>
      </c>
      <c r="AB126" s="128">
        <f>SUM(AB121:AB125)</f>
        <v>0</v>
      </c>
      <c r="AC126" s="128">
        <f>SUM(AC121:AC125)</f>
        <v>5</v>
      </c>
      <c r="AD126" s="128">
        <f>SUM(AD121:AD125)</f>
        <v>199</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20</v>
      </c>
      <c r="D127" s="237">
        <f>AI102</f>
        <v>16</v>
      </c>
      <c r="E127" s="237">
        <f>AI103</f>
        <v>45</v>
      </c>
      <c r="F127" s="237">
        <f>AI104</f>
        <v>33</v>
      </c>
      <c r="G127" s="237">
        <f>AI105</f>
        <v>90</v>
      </c>
      <c r="H127" s="237">
        <f>AI106</f>
        <v>204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4</v>
      </c>
      <c r="E135" s="237">
        <f>AO111</f>
        <v>0</v>
      </c>
      <c r="F135" s="237">
        <f>AO112</f>
        <v>0</v>
      </c>
      <c r="G135" s="237">
        <f>AO113</f>
        <v>0</v>
      </c>
      <c r="H135" s="237">
        <f>AO114</f>
        <v>8</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0</v>
      </c>
      <c r="F138" s="237">
        <f>AP112+AQ112+AS112</f>
        <v>4</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5</v>
      </c>
      <c r="H139" s="237">
        <f>SUM(AB106,AF106,AH106)</f>
        <v>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8</v>
      </c>
      <c r="D141" s="237">
        <f>AR110</f>
        <v>23</v>
      </c>
      <c r="E141" s="237">
        <f>AR111</f>
        <v>22</v>
      </c>
      <c r="F141" s="237">
        <f>AR112</f>
        <v>34</v>
      </c>
      <c r="G141" s="237">
        <f>AR113</f>
        <v>94</v>
      </c>
      <c r="H141" s="237">
        <f>AR114</f>
        <v>181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20</v>
      </c>
      <c r="D142" s="241">
        <f>AG102</f>
        <v>16</v>
      </c>
      <c r="E142" s="241">
        <f>AG103</f>
        <v>45</v>
      </c>
      <c r="F142" s="241">
        <f>AG104</f>
        <v>33</v>
      </c>
      <c r="G142" s="241">
        <f>AG105</f>
        <v>85</v>
      </c>
      <c r="H142" s="241">
        <f>AG106</f>
        <v>199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Wilkeson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6.4864864864864868E-2</v>
      </c>
      <c r="D152" s="267">
        <f t="shared" ref="D152:F153" si="53">IFERROR(D126/$H126,"0"%)</f>
        <v>0.12432432432432433</v>
      </c>
      <c r="E152" s="267">
        <f t="shared" si="53"/>
        <v>0.11891891891891893</v>
      </c>
      <c r="F152" s="267">
        <f t="shared" si="53"/>
        <v>0.18378378378378379</v>
      </c>
      <c r="G152" s="267">
        <f>G126/$H126</f>
        <v>0.50810810810810814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9.8039215686274508E-2</v>
      </c>
      <c r="D153" s="267">
        <f t="shared" si="53"/>
        <v>7.8431372549019607E-2</v>
      </c>
      <c r="E153" s="267">
        <f t="shared" si="53"/>
        <v>0.22058823529411764</v>
      </c>
      <c r="F153" s="267">
        <f t="shared" si="53"/>
        <v>0.16176470588235295</v>
      </c>
      <c r="G153" s="267">
        <f>G127/$H127</f>
        <v>0.44117647058823528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v>
      </c>
      <c r="D161" s="267">
        <f t="shared" si="56"/>
        <v>0.5</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4.4198895027624308E-2</v>
      </c>
      <c r="D167" s="267">
        <f t="shared" si="58"/>
        <v>0.1270718232044199</v>
      </c>
      <c r="E167" s="267">
        <f t="shared" si="58"/>
        <v>0.12154696132596685</v>
      </c>
      <c r="F167" s="267">
        <f t="shared" si="58"/>
        <v>0.18784530386740331</v>
      </c>
      <c r="G167" s="267">
        <f t="shared" si="58"/>
        <v>0.51933701657458564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0.10050251256281408</v>
      </c>
      <c r="D168" s="267">
        <f t="shared" si="58"/>
        <v>8.0402010050251257E-2</v>
      </c>
      <c r="E168" s="267">
        <f t="shared" si="58"/>
        <v>0.22613065326633167</v>
      </c>
      <c r="F168" s="267">
        <f t="shared" si="58"/>
        <v>0.16582914572864321</v>
      </c>
      <c r="G168" s="267">
        <f t="shared" si="58"/>
        <v>0.42713567839195982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Wilkeson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Wilkeson count of owner and renter households by racial group, 2019</v>
      </c>
      <c r="C5" s="302"/>
      <c r="D5" s="302"/>
      <c r="E5" s="302"/>
      <c r="F5" s="302"/>
      <c r="G5" s="302"/>
      <c r="H5" s="302"/>
      <c r="I5" s="302"/>
      <c r="J5" s="302"/>
      <c r="K5" s="302"/>
      <c r="M5" s="289"/>
      <c r="X5" s="16" t="s">
        <v>127</v>
      </c>
      <c r="Y5" s="305" t="str">
        <f>City</f>
        <v>Wilkeson town, Washington</v>
      </c>
      <c r="Z5" s="305"/>
    </row>
    <row r="6" spans="2:57" ht="18" customHeight="1">
      <c r="B6" s="302"/>
      <c r="C6" s="302"/>
      <c r="D6" s="302"/>
      <c r="E6" s="302"/>
      <c r="F6" s="302"/>
      <c r="G6" s="302"/>
      <c r="H6" s="302"/>
      <c r="I6" s="302"/>
      <c r="J6" s="302"/>
      <c r="K6" s="302"/>
      <c r="X6" s="16" t="s">
        <v>128</v>
      </c>
      <c r="Y6" s="305" t="str">
        <f>County</f>
        <v>Pierce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Wilkeson</v>
      </c>
      <c r="F8" s="257"/>
      <c r="G8" s="256"/>
      <c r="H8" s="65" t="str">
        <f>City_label</f>
        <v>Wilkeson</v>
      </c>
      <c r="I8" s="257"/>
      <c r="J8" s="65" t="str">
        <f>County_label</f>
        <v>Pierce County</v>
      </c>
      <c r="K8" s="257"/>
      <c r="X8" s="62" t="str">
        <f>City</f>
        <v>Wilkeson town,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0.55263157894736847</v>
      </c>
      <c r="K11" s="254">
        <f>Y77/Y51</f>
        <v>0.44736842105263158</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0</v>
      </c>
      <c r="F12" s="253">
        <f>Z40</f>
        <v>0</v>
      </c>
      <c r="G12" s="29"/>
      <c r="H12" s="254" t="str">
        <f t="shared" ref="H12:H17" si="0">IFERROR(E12/SUM(E12:F12), "0%")</f>
        <v>0%</v>
      </c>
      <c r="I12" s="254" t="str">
        <f t="shared" ref="I12:I17" si="1">IFERROR(F12/SUM(E12:F12), "0%")</f>
        <v>0%</v>
      </c>
      <c r="J12" s="254">
        <f>Z66/Z51</f>
        <v>0.64768478573482891</v>
      </c>
      <c r="K12" s="254">
        <f>Z77/Z51</f>
        <v>0.35231521426517115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0</v>
      </c>
      <c r="F13" s="253">
        <f>AA40</f>
        <v>0</v>
      </c>
      <c r="G13" s="29"/>
      <c r="H13" s="254" t="str">
        <f t="shared" si="0"/>
        <v>0%</v>
      </c>
      <c r="I13" s="254" t="str">
        <f t="shared" si="1"/>
        <v>0%</v>
      </c>
      <c r="J13" s="254">
        <f>AA66/AA51</f>
        <v>0.34671694764862465</v>
      </c>
      <c r="K13" s="254">
        <f>AA77/AA51</f>
        <v>0.65328305235137529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0</v>
      </c>
      <c r="F14" s="253">
        <f>AB40</f>
        <v>0</v>
      </c>
      <c r="G14" s="29"/>
      <c r="H14" s="254" t="str">
        <f t="shared" si="0"/>
        <v>0%</v>
      </c>
      <c r="I14" s="254" t="str">
        <f t="shared" si="1"/>
        <v>0%</v>
      </c>
      <c r="J14" s="254">
        <f>AB66/AB51</f>
        <v>0.45475736384827292</v>
      </c>
      <c r="K14" s="254">
        <f>AB77/AB51</f>
        <v>0.54524263615172708</v>
      </c>
      <c r="X14" s="33" t="s">
        <v>708</v>
      </c>
      <c r="Y14" s="37">
        <f t="shared" ref="Y14:AE14" si="2">SUM(Y29,Y40)</f>
        <v>0</v>
      </c>
      <c r="Z14" s="37">
        <f t="shared" si="2"/>
        <v>0</v>
      </c>
      <c r="AA14" s="37">
        <f t="shared" si="2"/>
        <v>0</v>
      </c>
      <c r="AB14" s="37">
        <f t="shared" si="2"/>
        <v>0</v>
      </c>
      <c r="AC14" s="37">
        <f t="shared" si="2"/>
        <v>4</v>
      </c>
      <c r="AD14" s="37">
        <f t="shared" si="2"/>
        <v>0</v>
      </c>
      <c r="AE14" s="37">
        <f t="shared" si="2"/>
        <v>180</v>
      </c>
      <c r="AF14" s="2">
        <v>185</v>
      </c>
      <c r="AG14" s="5"/>
      <c r="AH14" t="s">
        <v>203</v>
      </c>
      <c r="AI14" s="5">
        <f>AI25</f>
        <v>0</v>
      </c>
      <c r="AJ14" s="5">
        <f t="shared" ref="AJ14:AO14" si="3">AJ25</f>
        <v>0</v>
      </c>
      <c r="AK14" s="5">
        <f t="shared" si="3"/>
        <v>0</v>
      </c>
      <c r="AL14" s="5">
        <f t="shared" si="3"/>
        <v>4</v>
      </c>
      <c r="AM14" s="5">
        <f t="shared" si="3"/>
        <v>4</v>
      </c>
      <c r="AN14" s="5">
        <f t="shared" si="3"/>
        <v>125</v>
      </c>
      <c r="AO14" s="5">
        <f t="shared" si="3"/>
        <v>130</v>
      </c>
      <c r="AP14" s="37"/>
      <c r="AQ14" s="37"/>
      <c r="AR14" s="5"/>
    </row>
    <row r="15" spans="2:57">
      <c r="B15" s="29" t="s">
        <v>152</v>
      </c>
      <c r="C15" s="29"/>
      <c r="E15" s="253">
        <f>AC29</f>
        <v>4</v>
      </c>
      <c r="F15" s="253">
        <f>AC40</f>
        <v>0</v>
      </c>
      <c r="G15" s="29"/>
      <c r="H15" s="254">
        <f t="shared" si="0"/>
        <v>1</v>
      </c>
      <c r="I15" s="254">
        <f t="shared" si="1"/>
        <v>0</v>
      </c>
      <c r="J15" s="254">
        <f>AC66/AC51</f>
        <v>0.48180545836249128</v>
      </c>
      <c r="K15" s="254">
        <f>AC77/AC51</f>
        <v>0.51819454163750878</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55</v>
      </c>
      <c r="AO15" s="5">
        <f t="shared" si="4"/>
        <v>55</v>
      </c>
      <c r="AP15" s="5"/>
    </row>
    <row r="16" spans="2:57" ht="15">
      <c r="B16" s="29" t="s">
        <v>188</v>
      </c>
      <c r="C16" s="29"/>
      <c r="E16" s="253">
        <f>AD29</f>
        <v>0</v>
      </c>
      <c r="F16" s="253">
        <f>AD40</f>
        <v>0</v>
      </c>
      <c r="G16" s="29"/>
      <c r="H16" s="254" t="str">
        <f t="shared" si="0"/>
        <v>0%</v>
      </c>
      <c r="I16" s="254" t="str">
        <f t="shared" si="1"/>
        <v>0%</v>
      </c>
      <c r="J16" s="254">
        <f>AD66/AD51</f>
        <v>0.30285714285714288</v>
      </c>
      <c r="K16" s="254">
        <f>AD77/AD51</f>
        <v>0.69714285714285718</v>
      </c>
      <c r="X16" s="33"/>
      <c r="Y16" s="5"/>
      <c r="Z16" s="5"/>
      <c r="AA16" s="5"/>
      <c r="AB16" s="5"/>
      <c r="AC16" s="5"/>
      <c r="AD16" s="5"/>
      <c r="AE16" s="251" t="s">
        <v>709</v>
      </c>
      <c r="AF16" s="5">
        <f>SUM(Y14:AE14)</f>
        <v>184</v>
      </c>
      <c r="AG16" s="5"/>
      <c r="AH16" s="34" t="s">
        <v>150</v>
      </c>
      <c r="AI16" s="34">
        <f>Z14</f>
        <v>0</v>
      </c>
      <c r="AJ16" s="34">
        <f>AA14</f>
        <v>0</v>
      </c>
      <c r="AK16" s="37">
        <f>AB14</f>
        <v>0</v>
      </c>
      <c r="AL16" s="37">
        <f>SUM(Y14, AC14:AD14)</f>
        <v>4</v>
      </c>
      <c r="AM16" s="37">
        <f>SUM(Y14:AA14,AC14:AD14)</f>
        <v>4</v>
      </c>
      <c r="AN16" s="37">
        <f>AE14</f>
        <v>180</v>
      </c>
      <c r="AO16" s="37">
        <f>AF14</f>
        <v>185</v>
      </c>
      <c r="AP16" s="5"/>
    </row>
    <row r="17" spans="2:42">
      <c r="B17" s="29" t="s">
        <v>137</v>
      </c>
      <c r="C17" s="29"/>
      <c r="E17" s="281">
        <f>AE29</f>
        <v>125</v>
      </c>
      <c r="F17" s="281">
        <f>AE40</f>
        <v>55</v>
      </c>
      <c r="G17" s="70"/>
      <c r="H17" s="282">
        <f t="shared" si="0"/>
        <v>0.69444444444444442</v>
      </c>
      <c r="I17" s="282">
        <f t="shared" si="1"/>
        <v>0.30555555555555558</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130</v>
      </c>
      <c r="F18" s="258">
        <f>AF40</f>
        <v>55</v>
      </c>
      <c r="G18" s="247"/>
      <c r="H18" s="259">
        <f>IFERROR(E18/SUM(E18:F18), "0%")</f>
        <v>0.70270270270270274</v>
      </c>
      <c r="I18" s="259">
        <f>IFERROR(F18/(SUM(E18:F18)),"0 %")</f>
        <v>0.29729729729729731</v>
      </c>
      <c r="J18" s="259">
        <f>AF66/AF51</f>
        <v>0.62121282420080737</v>
      </c>
      <c r="K18" s="259">
        <f>AF77/AF51</f>
        <v>0.37878717579919269</v>
      </c>
      <c r="AE18" s="59" t="s">
        <v>708</v>
      </c>
      <c r="AF18" s="112" t="s">
        <v>711</v>
      </c>
      <c r="AG18" s="5"/>
      <c r="AH18" t="s">
        <v>203</v>
      </c>
      <c r="AI18" s="6" t="e">
        <f>AI14/AI$16</f>
        <v>#DIV/0!</v>
      </c>
      <c r="AJ18" s="6" t="e">
        <f t="shared" ref="AJ18:AO18" si="5">AJ14/AJ$16</f>
        <v>#DIV/0!</v>
      </c>
      <c r="AK18" s="6" t="e">
        <f t="shared" si="5"/>
        <v>#DIV/0!</v>
      </c>
      <c r="AL18" s="6">
        <f t="shared" si="5"/>
        <v>1</v>
      </c>
      <c r="AM18" s="6">
        <f t="shared" si="5"/>
        <v>1</v>
      </c>
      <c r="AN18" s="6">
        <f t="shared" si="5"/>
        <v>0.69444444444444442</v>
      </c>
      <c r="AO18" s="6">
        <f t="shared" si="5"/>
        <v>0.70270270270270274</v>
      </c>
      <c r="AP18" s="5"/>
    </row>
    <row r="19" spans="2:42" ht="15">
      <c r="B19" s="337" t="s">
        <v>712</v>
      </c>
      <c r="C19" s="337"/>
      <c r="D19" s="337"/>
      <c r="E19" s="337"/>
      <c r="F19" s="337"/>
      <c r="G19" s="337"/>
      <c r="H19" s="337"/>
      <c r="I19" s="337"/>
      <c r="J19" s="337"/>
      <c r="K19" s="337"/>
      <c r="AG19" s="5"/>
      <c r="AH19" s="33" t="s">
        <v>243</v>
      </c>
      <c r="AI19" s="6" t="e">
        <f>AI15/AI$16</f>
        <v>#DIV/0!</v>
      </c>
      <c r="AJ19" s="6" t="e">
        <f t="shared" ref="AJ19:AO19" si="6">AJ15/AJ$16</f>
        <v>#DIV/0!</v>
      </c>
      <c r="AK19" s="6" t="e">
        <f t="shared" si="6"/>
        <v>#DIV/0!</v>
      </c>
      <c r="AL19" s="6">
        <f t="shared" si="6"/>
        <v>0</v>
      </c>
      <c r="AM19" s="6">
        <f t="shared" si="6"/>
        <v>0</v>
      </c>
      <c r="AN19" s="6">
        <f t="shared" si="6"/>
        <v>0.30555555555555558</v>
      </c>
      <c r="AO19" s="6">
        <f t="shared" si="6"/>
        <v>0.29729729729729731</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Wilkeson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0</v>
      </c>
      <c r="AJ25" s="37">
        <f>AA29</f>
        <v>0</v>
      </c>
      <c r="AK25" s="37">
        <f>AB29</f>
        <v>0</v>
      </c>
      <c r="AL25" s="37">
        <f>SUM(Y29,AC29:AD29)</f>
        <v>4</v>
      </c>
      <c r="AM25" s="37">
        <f>SUM(Y29:AA29,AC29:AD29)</f>
        <v>4</v>
      </c>
      <c r="AN25" s="37">
        <f>AE29</f>
        <v>125</v>
      </c>
      <c r="AO25" s="37">
        <f>AF29</f>
        <v>130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0</v>
      </c>
      <c r="AA29" s="2">
        <v>0</v>
      </c>
      <c r="AB29" s="2">
        <v>0</v>
      </c>
      <c r="AC29" s="2">
        <v>4</v>
      </c>
      <c r="AD29" s="2">
        <v>0</v>
      </c>
      <c r="AE29" s="2">
        <v>125</v>
      </c>
      <c r="AF29" s="2">
        <v>130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55</v>
      </c>
      <c r="AO36" s="37">
        <f>AF40</f>
        <v>55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55</v>
      </c>
      <c r="AF40" s="2">
        <v>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Wilkeson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Wilkeson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Wilkeson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www.w3.org/XML/1998/namespace"/>
    <ds:schemaRef ds:uri="8556b74b-f608-4f00-b474-15eeb07aa725"/>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08070d79-41db-40ac-93d9-3fd8f1a76db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